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000" windowHeight="9630" tabRatio="786"/>
  </bookViews>
  <sheets>
    <sheet name="14" sheetId="1" r:id="rId1"/>
    <sheet name="39" sheetId="2" r:id="rId2"/>
    <sheet name="43" sheetId="3" r:id="rId3"/>
    <sheet name="89" sheetId="26" r:id="rId4"/>
    <sheet name="100" sheetId="4" r:id="rId5"/>
    <sheet name="131" sheetId="5" r:id="rId6"/>
    <sheet name="133 " sheetId="6" r:id="rId7"/>
    <sheet name="135" sheetId="7" r:id="rId8"/>
    <sheet name="143" sheetId="9" r:id="rId9"/>
    <sheet name="159" sheetId="8" r:id="rId10"/>
    <sheet name="Надія" sheetId="11" r:id="rId11"/>
    <sheet name="196" sheetId="12" r:id="rId12"/>
    <sheet name="210" sheetId="10" r:id="rId13"/>
    <sheet name="217" sheetId="13" r:id="rId14"/>
    <sheet name="226" sheetId="14" r:id="rId15"/>
    <sheet name="244" sheetId="15" r:id="rId16"/>
    <sheet name="270" sheetId="16" r:id="rId17"/>
    <sheet name="280" sheetId="17" r:id="rId18"/>
    <sheet name="284" sheetId="18" r:id="rId19"/>
  </sheets>
  <definedNames>
    <definedName name="_xlnm.Print_Area" localSheetId="4">'100'!$A$1:$D$36</definedName>
    <definedName name="_xlnm.Print_Area" localSheetId="5">'131'!$A$1:$D$35</definedName>
    <definedName name="_xlnm.Print_Area" localSheetId="6">'133 '!$A$1:$D$35</definedName>
    <definedName name="_xlnm.Print_Area" localSheetId="7">'135'!$A$1:$D$35</definedName>
    <definedName name="_xlnm.Print_Area" localSheetId="0">'14'!$A$1:$D$35</definedName>
    <definedName name="_xlnm.Print_Area" localSheetId="8">'143'!$A$1:$D$35</definedName>
    <definedName name="_xlnm.Print_Area" localSheetId="9">'159'!$A$1:$D$35</definedName>
    <definedName name="_xlnm.Print_Area" localSheetId="11">'196'!$A$1:$D$35</definedName>
    <definedName name="_xlnm.Print_Area" localSheetId="12">'210'!$A$1:$D$36</definedName>
    <definedName name="_xlnm.Print_Area" localSheetId="13">'217'!$A$1:$D$35</definedName>
    <definedName name="_xlnm.Print_Area" localSheetId="14">'226'!$A$1:$D$35</definedName>
    <definedName name="_xlnm.Print_Area" localSheetId="15">'244'!$A$1:$D$35</definedName>
    <definedName name="_xlnm.Print_Area" localSheetId="16">'270'!$A$1:$D$35</definedName>
    <definedName name="_xlnm.Print_Area" localSheetId="17">'280'!$A$1:$D$35</definedName>
    <definedName name="_xlnm.Print_Area" localSheetId="18">'284'!$A$1:$D$35</definedName>
    <definedName name="_xlnm.Print_Area" localSheetId="1">'39'!$A$1:$D$35</definedName>
    <definedName name="_xlnm.Print_Area" localSheetId="2">'43'!$A$1:$D$35</definedName>
    <definedName name="_xlnm.Print_Area" localSheetId="3">'89'!$A$1:$D$35</definedName>
    <definedName name="_xlnm.Print_Area" localSheetId="10">Надія!$A$1:$D$35</definedName>
  </definedNames>
  <calcPr calcId="125725" refMode="R1C1"/>
</workbook>
</file>

<file path=xl/calcChain.xml><?xml version="1.0" encoding="utf-8"?>
<calcChain xmlns="http://schemas.openxmlformats.org/spreadsheetml/2006/main">
  <c r="C31" i="16"/>
  <c r="C31" i="17"/>
  <c r="C31" i="18"/>
  <c r="C32" i="4"/>
  <c r="C31" i="15"/>
  <c r="C31" i="14"/>
  <c r="C31" i="13"/>
  <c r="C31" i="10"/>
  <c r="C31" i="12"/>
  <c r="C31" i="11"/>
  <c r="C31" i="8"/>
  <c r="C31" i="9"/>
  <c r="C31" i="7"/>
  <c r="C31" i="6"/>
  <c r="C31" i="5"/>
  <c r="C31" i="26"/>
  <c r="C31" i="3"/>
  <c r="C31" i="2"/>
  <c r="C31" i="1"/>
  <c r="C29" i="18"/>
  <c r="C29" i="17"/>
  <c r="C29" i="16"/>
  <c r="C29" i="15"/>
  <c r="C29" i="14"/>
  <c r="C29" i="13"/>
  <c r="C29" i="10"/>
  <c r="C29" i="12"/>
  <c r="C29" i="11"/>
  <c r="C29" i="8"/>
  <c r="C29" i="9"/>
  <c r="C29" i="7"/>
  <c r="C29" i="6"/>
  <c r="C29" i="5"/>
  <c r="C30" i="4"/>
  <c r="C29" i="26"/>
  <c r="C29" i="3"/>
  <c r="C29" i="2"/>
  <c r="C29" i="1"/>
  <c r="C28" i="18"/>
  <c r="C28" i="17"/>
  <c r="C28" i="16"/>
  <c r="C28" i="15"/>
  <c r="C28" i="14"/>
  <c r="C28" i="13"/>
  <c r="C28" i="10"/>
  <c r="C28" i="12"/>
  <c r="C28" i="11"/>
  <c r="C28" i="8"/>
  <c r="C28" i="9"/>
  <c r="C28" i="7"/>
  <c r="C28" i="6"/>
  <c r="C28" i="5"/>
  <c r="C29" i="4"/>
  <c r="C28" i="26"/>
  <c r="C28" i="3"/>
  <c r="C28" i="2"/>
  <c r="C28" i="1"/>
  <c r="C27" i="18"/>
  <c r="C27" i="17"/>
  <c r="C27" i="16"/>
  <c r="C27" i="15"/>
  <c r="C27" i="14"/>
  <c r="C27" i="13"/>
  <c r="C27" i="10"/>
  <c r="C27" i="12"/>
  <c r="C27" i="11"/>
  <c r="C27" i="8"/>
  <c r="C27" i="9"/>
  <c r="C27" i="7"/>
  <c r="C27" i="6"/>
  <c r="C27" i="5"/>
  <c r="C28" i="4"/>
  <c r="C27" i="26"/>
  <c r="C27" i="3"/>
  <c r="C27" i="2"/>
  <c r="C27" i="1"/>
  <c r="C21" i="18"/>
  <c r="C21" i="17"/>
  <c r="C21" i="16"/>
  <c r="C21" i="15"/>
  <c r="C21" i="14"/>
  <c r="C21" i="13"/>
  <c r="C21" i="10"/>
  <c r="C21" i="12"/>
  <c r="C21" i="11"/>
  <c r="C21" i="8"/>
  <c r="C21" i="9"/>
  <c r="C21" i="7"/>
  <c r="C21" i="6"/>
  <c r="C21" i="5"/>
  <c r="C22" i="4"/>
  <c r="C21" i="26"/>
  <c r="C21" i="3"/>
  <c r="C21" i="2"/>
  <c r="C21" i="1"/>
  <c r="C20" i="4" l="1"/>
  <c r="C18" i="16"/>
  <c r="C18" i="8" l="1"/>
  <c r="C19"/>
  <c r="C18" i="15"/>
  <c r="C18" i="14"/>
  <c r="C18" i="13"/>
  <c r="C18" i="10"/>
  <c r="C18" i="12"/>
  <c r="C18" i="11"/>
  <c r="C18" i="9"/>
  <c r="C18" i="7"/>
  <c r="C18" i="6"/>
  <c r="C18" i="5"/>
  <c r="C18" i="4"/>
  <c r="C18" i="26"/>
  <c r="C18" i="3"/>
  <c r="C18" i="2"/>
  <c r="C18" i="1"/>
  <c r="C18" i="18"/>
  <c r="C18" i="17"/>
  <c r="D20" i="4" l="1"/>
  <c r="C25" i="6" l="1"/>
  <c r="C25" i="15"/>
  <c r="C19" i="14" l="1"/>
  <c r="D19" s="1"/>
  <c r="C19" i="16"/>
  <c r="D19" s="1"/>
  <c r="C19" i="18"/>
  <c r="D19" s="1"/>
  <c r="C19" i="9"/>
  <c r="D19" s="1"/>
  <c r="C19" i="7"/>
  <c r="D19" s="1"/>
  <c r="C19" i="6"/>
  <c r="D19" s="1"/>
  <c r="C19" i="1"/>
  <c r="D19" s="1"/>
  <c r="C19" i="17"/>
  <c r="D19" s="1"/>
  <c r="C19" i="10"/>
  <c r="D19" s="1"/>
  <c r="C19" i="12"/>
  <c r="C19" i="5"/>
  <c r="D19" s="1"/>
  <c r="C19" i="26"/>
  <c r="D19" s="1"/>
  <c r="C19" i="3"/>
  <c r="D19" s="1"/>
  <c r="D19" i="8"/>
  <c r="C19" i="15"/>
  <c r="D19" s="1"/>
  <c r="C19" i="13"/>
  <c r="D19" s="1"/>
  <c r="D19" i="12"/>
  <c r="C19" i="11"/>
  <c r="D19" s="1"/>
  <c r="C19" i="4"/>
  <c r="D19" s="1"/>
  <c r="C19" i="2"/>
  <c r="D19" s="1"/>
  <c r="C24" i="18" l="1"/>
  <c r="C25" i="4"/>
  <c r="C24" i="17"/>
  <c r="C24" i="5"/>
  <c r="C24" i="12"/>
  <c r="C24" i="11"/>
  <c r="C24" i="13"/>
  <c r="C24" i="16"/>
  <c r="C24" i="14"/>
  <c r="C24" i="9"/>
  <c r="C24" i="3"/>
  <c r="C24" i="7"/>
  <c r="C24" i="15"/>
  <c r="C24" i="8" l="1"/>
  <c r="D24" s="1"/>
  <c r="D23" i="14"/>
  <c r="D24"/>
  <c r="D24" i="18"/>
  <c r="D24" i="17"/>
  <c r="D24" i="16"/>
  <c r="D24" i="15"/>
  <c r="D24" i="13"/>
  <c r="D24" i="10"/>
  <c r="D24" i="12"/>
  <c r="D24" i="11"/>
  <c r="D24" i="9"/>
  <c r="D24" i="7"/>
  <c r="D24" i="6"/>
  <c r="D24" i="5"/>
  <c r="D25" i="4"/>
  <c r="D24" i="26"/>
  <c r="D24" i="3"/>
  <c r="D24" i="2"/>
  <c r="D24" i="1"/>
  <c r="C23" i="3"/>
  <c r="C22" i="14"/>
  <c r="C20" i="5"/>
  <c r="C20" i="8"/>
  <c r="C22" i="7"/>
  <c r="C20" i="16"/>
  <c r="C22" i="3"/>
  <c r="C20"/>
  <c r="C22" i="11"/>
  <c r="C21" i="4"/>
  <c r="C23"/>
  <c r="D23" s="1"/>
  <c r="C20" i="7"/>
  <c r="C20" i="26"/>
  <c r="C20" i="18"/>
  <c r="C20" i="2"/>
  <c r="C23" i="17"/>
  <c r="C23" i="26"/>
  <c r="C20" i="11" l="1"/>
  <c r="C20" i="12"/>
  <c r="C25" i="10" l="1"/>
  <c r="C25" i="18" l="1"/>
  <c r="C25" i="17"/>
  <c r="C25" i="14"/>
  <c r="D25" s="1"/>
  <c r="C25" i="13"/>
  <c r="C25" i="12"/>
  <c r="C25" i="11"/>
  <c r="C25" i="8"/>
  <c r="C25" i="9"/>
  <c r="C25" i="7"/>
  <c r="C25" i="5"/>
  <c r="C26" i="4"/>
  <c r="C25" i="26"/>
  <c r="C25" i="3"/>
  <c r="C25" i="2"/>
  <c r="C25" i="1"/>
  <c r="C25" i="16"/>
  <c r="C20" i="14" l="1"/>
  <c r="C20" i="17" l="1"/>
  <c r="C23" i="9" l="1"/>
  <c r="C23" i="1" l="1"/>
  <c r="C23" i="7"/>
  <c r="C33" i="4" l="1"/>
  <c r="D27" i="11"/>
  <c r="D27" i="9"/>
  <c r="D27" i="7"/>
  <c r="D28"/>
  <c r="D29"/>
  <c r="D30"/>
  <c r="D31"/>
  <c r="D28" i="4"/>
  <c r="D29"/>
  <c r="D30"/>
  <c r="D31"/>
  <c r="D32"/>
  <c r="D30" i="1"/>
  <c r="D20" i="18"/>
  <c r="D21"/>
  <c r="D22"/>
  <c r="D23"/>
  <c r="D25"/>
  <c r="D27"/>
  <c r="D28"/>
  <c r="D21" i="17"/>
  <c r="D22"/>
  <c r="D23"/>
  <c r="D25"/>
  <c r="D22" i="16"/>
  <c r="D23"/>
  <c r="D25"/>
  <c r="D27"/>
  <c r="D28"/>
  <c r="D23" i="15"/>
  <c r="D25"/>
  <c r="D27"/>
  <c r="D20" i="13"/>
  <c r="D21"/>
  <c r="D22"/>
  <c r="D23"/>
  <c r="D25"/>
  <c r="D23" i="10"/>
  <c r="D25"/>
  <c r="D25" i="12"/>
  <c r="D25" i="11"/>
  <c r="D23" i="8"/>
  <c r="D25"/>
  <c r="D23" i="9"/>
  <c r="D25"/>
  <c r="D23" i="7"/>
  <c r="D25"/>
  <c r="D23" i="6"/>
  <c r="D25"/>
  <c r="D23" i="5"/>
  <c r="D25"/>
  <c r="D24" i="4"/>
  <c r="D26"/>
  <c r="D23" i="26"/>
  <c r="D25"/>
  <c r="D22" i="3"/>
  <c r="D23"/>
  <c r="D25"/>
  <c r="D23" i="2"/>
  <c r="D25"/>
  <c r="D23" i="1"/>
  <c r="D25"/>
  <c r="D23" i="11" l="1"/>
  <c r="D23" i="12" l="1"/>
  <c r="D21" i="26" l="1"/>
  <c r="D20" i="17"/>
  <c r="D21" i="16"/>
  <c r="D20" i="15"/>
  <c r="D21"/>
  <c r="D22"/>
  <c r="D20" i="14"/>
  <c r="D21"/>
  <c r="D22"/>
  <c r="D20" i="10"/>
  <c r="D21"/>
  <c r="D22"/>
  <c r="D21" i="12"/>
  <c r="D22"/>
  <c r="D20" i="11"/>
  <c r="D21"/>
  <c r="D22"/>
  <c r="D20" i="8"/>
  <c r="D21"/>
  <c r="D22"/>
  <c r="D20" i="9"/>
  <c r="D21"/>
  <c r="D22"/>
  <c r="D20" i="7"/>
  <c r="D21"/>
  <c r="D22"/>
  <c r="D20" i="6"/>
  <c r="D21"/>
  <c r="D22"/>
  <c r="D20" i="5"/>
  <c r="D21"/>
  <c r="D22"/>
  <c r="D21" i="4"/>
  <c r="D22"/>
  <c r="D20" i="26"/>
  <c r="D22"/>
  <c r="D20" i="3"/>
  <c r="D21"/>
  <c r="D20" i="2"/>
  <c r="D21"/>
  <c r="D22"/>
  <c r="D20" i="1"/>
  <c r="D21"/>
  <c r="D22"/>
  <c r="D20" i="16"/>
  <c r="D20" i="12"/>
  <c r="D18" i="18" l="1"/>
  <c r="D29"/>
  <c r="D30"/>
  <c r="D31"/>
  <c r="D33"/>
  <c r="D34"/>
  <c r="D35"/>
  <c r="C34"/>
  <c r="C32"/>
  <c r="D18" i="17"/>
  <c r="D27"/>
  <c r="D28"/>
  <c r="D29"/>
  <c r="D30"/>
  <c r="D31"/>
  <c r="D33"/>
  <c r="D35"/>
  <c r="C34"/>
  <c r="D34" s="1"/>
  <c r="C32"/>
  <c r="D32" s="1"/>
  <c r="D18" i="11"/>
  <c r="D30"/>
  <c r="D33"/>
  <c r="D35"/>
  <c r="C34"/>
  <c r="C32"/>
  <c r="D32" s="1"/>
  <c r="D18" i="16"/>
  <c r="D30"/>
  <c r="D33"/>
  <c r="D35"/>
  <c r="C34"/>
  <c r="C32"/>
  <c r="D32" s="1"/>
  <c r="D18" i="15"/>
  <c r="D28"/>
  <c r="D29"/>
  <c r="D30"/>
  <c r="D31"/>
  <c r="D33"/>
  <c r="D35"/>
  <c r="C34"/>
  <c r="D34" s="1"/>
  <c r="C32"/>
  <c r="D32" s="1"/>
  <c r="D18" i="14"/>
  <c r="D27"/>
  <c r="D28"/>
  <c r="D29"/>
  <c r="D30"/>
  <c r="D31"/>
  <c r="D33"/>
  <c r="D35"/>
  <c r="C34"/>
  <c r="D34" s="1"/>
  <c r="C32"/>
  <c r="D32" s="1"/>
  <c r="D18" i="13"/>
  <c r="D27"/>
  <c r="D28"/>
  <c r="D29"/>
  <c r="D30"/>
  <c r="D31"/>
  <c r="D33"/>
  <c r="D35"/>
  <c r="C34"/>
  <c r="D34" s="1"/>
  <c r="C32"/>
  <c r="D32" s="1"/>
  <c r="D18" i="10"/>
  <c r="D27"/>
  <c r="D28"/>
  <c r="D29"/>
  <c r="D30"/>
  <c r="D31"/>
  <c r="D33"/>
  <c r="D35"/>
  <c r="D36"/>
  <c r="C34"/>
  <c r="D34" s="1"/>
  <c r="C32"/>
  <c r="D32" s="1"/>
  <c r="D18" i="12"/>
  <c r="D27"/>
  <c r="D30"/>
  <c r="D33"/>
  <c r="D35"/>
  <c r="C34"/>
  <c r="D34" s="1"/>
  <c r="C32"/>
  <c r="D32" s="1"/>
  <c r="D35" i="8"/>
  <c r="D18"/>
  <c r="D27"/>
  <c r="D28"/>
  <c r="D29"/>
  <c r="D30"/>
  <c r="D31"/>
  <c r="D33"/>
  <c r="D34"/>
  <c r="C34"/>
  <c r="C32"/>
  <c r="D32" s="1"/>
  <c r="D18" i="9"/>
  <c r="D28"/>
  <c r="D29"/>
  <c r="D30"/>
  <c r="D31"/>
  <c r="D33"/>
  <c r="D35"/>
  <c r="C34"/>
  <c r="D34" s="1"/>
  <c r="C32"/>
  <c r="D32" s="1"/>
  <c r="D18" i="7"/>
  <c r="D33"/>
  <c r="D35"/>
  <c r="C34"/>
  <c r="D34" s="1"/>
  <c r="C32"/>
  <c r="D32" s="1"/>
  <c r="D18" i="6"/>
  <c r="D27"/>
  <c r="D28"/>
  <c r="D29"/>
  <c r="D30"/>
  <c r="D31"/>
  <c r="D33"/>
  <c r="D35"/>
  <c r="C34"/>
  <c r="D34" s="1"/>
  <c r="C32"/>
  <c r="D32" s="1"/>
  <c r="D18" i="5"/>
  <c r="D27"/>
  <c r="D28"/>
  <c r="D29"/>
  <c r="D30"/>
  <c r="D31"/>
  <c r="D33"/>
  <c r="D35"/>
  <c r="C27" i="4"/>
  <c r="C17" s="1"/>
  <c r="C26" i="26"/>
  <c r="C17" s="1"/>
  <c r="C26" i="2"/>
  <c r="C17" s="1"/>
  <c r="C26" i="1"/>
  <c r="C17" s="1"/>
  <c r="C34" i="5"/>
  <c r="D34" s="1"/>
  <c r="C32"/>
  <c r="D32" s="1"/>
  <c r="D18" i="4"/>
  <c r="D34"/>
  <c r="D36"/>
  <c r="C35"/>
  <c r="D35" s="1"/>
  <c r="D33"/>
  <c r="D18" i="26"/>
  <c r="D27"/>
  <c r="D28"/>
  <c r="D29"/>
  <c r="D30"/>
  <c r="D31"/>
  <c r="D33"/>
  <c r="D35"/>
  <c r="C32"/>
  <c r="D32" s="1"/>
  <c r="C34"/>
  <c r="D34" s="1"/>
  <c r="C34" i="3"/>
  <c r="D34" s="1"/>
  <c r="D18"/>
  <c r="D27"/>
  <c r="D28"/>
  <c r="D29"/>
  <c r="D30"/>
  <c r="D31"/>
  <c r="D32"/>
  <c r="D33"/>
  <c r="D35"/>
  <c r="C26"/>
  <c r="C17" s="1"/>
  <c r="D27" i="2"/>
  <c r="D28"/>
  <c r="D29"/>
  <c r="D30"/>
  <c r="D31"/>
  <c r="D32"/>
  <c r="D33"/>
  <c r="D34"/>
  <c r="D35"/>
  <c r="D18"/>
  <c r="D32" i="18" l="1"/>
  <c r="C16" i="26"/>
  <c r="D27" i="4"/>
  <c r="D17"/>
  <c r="D26" i="3"/>
  <c r="D17"/>
  <c r="D26" i="2"/>
  <c r="D34" i="16"/>
  <c r="D34" i="11"/>
  <c r="D26" i="26"/>
  <c r="C16" i="4" l="1"/>
  <c r="D16" s="1"/>
  <c r="D17" i="26"/>
  <c r="C16" i="3"/>
  <c r="C15" s="1"/>
  <c r="D15" s="1"/>
  <c r="D16" i="26"/>
  <c r="C15"/>
  <c r="D15" s="1"/>
  <c r="D17" i="2"/>
  <c r="C16"/>
  <c r="D16" i="3" l="1"/>
  <c r="C15" i="4"/>
  <c r="D15" s="1"/>
  <c r="C15" i="2"/>
  <c r="D16"/>
  <c r="D15" l="1"/>
  <c r="C34" i="1" l="1"/>
  <c r="C32"/>
  <c r="D17"/>
  <c r="D18"/>
  <c r="D26"/>
  <c r="D27"/>
  <c r="D28"/>
  <c r="D29"/>
  <c r="D31"/>
  <c r="D33"/>
  <c r="D35"/>
  <c r="D34" l="1"/>
  <c r="D32"/>
  <c r="C16"/>
  <c r="C15" l="1"/>
  <c r="D16"/>
  <c r="D31" i="11"/>
  <c r="D31" i="16"/>
  <c r="D29" i="11"/>
  <c r="D29" i="16"/>
  <c r="C26" i="18"/>
  <c r="C17" s="1"/>
  <c r="C26" i="17"/>
  <c r="C17" s="1"/>
  <c r="C26" i="15"/>
  <c r="C17" s="1"/>
  <c r="C26" i="13"/>
  <c r="C17" s="1"/>
  <c r="C26" i="6"/>
  <c r="C17" s="1"/>
  <c r="D26" i="18" l="1"/>
  <c r="D26" i="17"/>
  <c r="D26" i="15"/>
  <c r="D26" i="13"/>
  <c r="D26" i="6"/>
  <c r="C26" i="11"/>
  <c r="C17" s="1"/>
  <c r="D28"/>
  <c r="D31" i="12"/>
  <c r="D29"/>
  <c r="D28"/>
  <c r="D15" i="1"/>
  <c r="C26" i="16"/>
  <c r="C17" s="1"/>
  <c r="C26" i="14"/>
  <c r="C17" s="1"/>
  <c r="C26" i="10"/>
  <c r="C17" s="1"/>
  <c r="C26" i="12"/>
  <c r="C17" s="1"/>
  <c r="C26" i="8"/>
  <c r="C17" s="1"/>
  <c r="C26" i="9"/>
  <c r="C17" s="1"/>
  <c r="C26" i="7"/>
  <c r="C17" s="1"/>
  <c r="C26" i="5"/>
  <c r="C17" s="1"/>
  <c r="D17" i="18" l="1"/>
  <c r="C16"/>
  <c r="D17" i="17"/>
  <c r="C16"/>
  <c r="D26" i="16"/>
  <c r="D17" i="15"/>
  <c r="C16"/>
  <c r="D26" i="14"/>
  <c r="D17" i="13"/>
  <c r="C16"/>
  <c r="D26" i="10"/>
  <c r="D26" i="12"/>
  <c r="D26" i="11"/>
  <c r="C16"/>
  <c r="D26" i="8"/>
  <c r="D26" i="9"/>
  <c r="D26" i="7"/>
  <c r="C16" i="6"/>
  <c r="D17"/>
  <c r="D26" i="5"/>
  <c r="D17" i="11" l="1"/>
  <c r="C15" i="18"/>
  <c r="D15" s="1"/>
  <c r="D16"/>
  <c r="C15" i="17"/>
  <c r="D15" s="1"/>
  <c r="D16"/>
  <c r="C15" i="15"/>
  <c r="D15" s="1"/>
  <c r="D16"/>
  <c r="D17" i="14"/>
  <c r="C16"/>
  <c r="D16" i="13"/>
  <c r="C15"/>
  <c r="D15" s="1"/>
  <c r="D17" i="10"/>
  <c r="C16"/>
  <c r="D17" i="8"/>
  <c r="C16"/>
  <c r="D17" i="9"/>
  <c r="C16"/>
  <c r="C16" i="7"/>
  <c r="D17"/>
  <c r="C15" i="6"/>
  <c r="D15" s="1"/>
  <c r="D16"/>
  <c r="D17" i="5"/>
  <c r="C16"/>
  <c r="D16" i="11"/>
  <c r="C15"/>
  <c r="D15" s="1"/>
  <c r="C16" i="16"/>
  <c r="D17"/>
  <c r="C16" i="12"/>
  <c r="D17"/>
  <c r="D16" i="14" l="1"/>
  <c r="C15"/>
  <c r="D15" s="1"/>
  <c r="C15" i="10"/>
  <c r="D15" s="1"/>
  <c r="D16"/>
  <c r="D16" i="8"/>
  <c r="C15"/>
  <c r="D15" s="1"/>
  <c r="C15" i="9"/>
  <c r="D15" s="1"/>
  <c r="D16"/>
  <c r="C15" i="7"/>
  <c r="D15" s="1"/>
  <c r="D16"/>
  <c r="C15" i="5"/>
  <c r="D15" s="1"/>
  <c r="D16"/>
  <c r="D16" i="16"/>
  <c r="C15"/>
  <c r="D15" s="1"/>
  <c r="C15" i="12"/>
  <c r="D16"/>
  <c r="D15" l="1"/>
</calcChain>
</file>

<file path=xl/sharedStrings.xml><?xml version="1.0" encoding="utf-8"?>
<sst xmlns="http://schemas.openxmlformats.org/spreadsheetml/2006/main" count="782" uniqueCount="63">
  <si>
    <t>Звіт</t>
  </si>
  <si>
    <t>Одиниця виміру: грн, коп.</t>
  </si>
  <si>
    <t>Показники</t>
  </si>
  <si>
    <r>
      <t>Видатки та надання кредитів -</t>
    </r>
    <r>
      <rPr>
        <sz val="9"/>
        <color rgb="FF000000"/>
        <rFont val="Times New Roman"/>
        <family val="1"/>
        <charset val="204"/>
      </rPr>
      <t> усього</t>
    </r>
  </si>
  <si>
    <t>Х</t>
  </si>
  <si>
    <t>Використання товарів і послуг</t>
  </si>
  <si>
    <t>Предмети, матеріали, обладнання та інвентар</t>
  </si>
  <si>
    <t>Оплата послуг (крім комунальних)</t>
  </si>
  <si>
    <t>Вивіз сміття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</si>
  <si>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</si>
  <si>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</si>
  <si>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</si>
  <si>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</si>
  <si>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Соціальне забезпечення</t>
  </si>
  <si>
    <t>Капітальні видатки</t>
  </si>
  <si>
    <t>Оплата комунальних послуг та енергоносіїв:</t>
  </si>
  <si>
    <t>Придбання обладнання і предметів довгострокового користування</t>
  </si>
  <si>
    <t>Капітальний ремонт</t>
  </si>
  <si>
    <r>
      <t xml:space="preserve">У тому числі:
</t>
    </r>
    <r>
      <rPr>
        <b/>
        <sz val="9"/>
        <rFont val="Times New Roman"/>
        <family val="1"/>
        <charset val="204"/>
      </rPr>
      <t>Поточні видатки</t>
    </r>
  </si>
  <si>
    <t>Поточні ремонти</t>
  </si>
  <si>
    <t xml:space="preserve">0611010 Надання  дошкільної освіти  </t>
  </si>
  <si>
    <t>Періодичність: квартальна</t>
  </si>
  <si>
    <t>КЕКВ</t>
  </si>
  <si>
    <t xml:space="preserve">Установа                                                                                                        </t>
  </si>
  <si>
    <t xml:space="preserve">Територія                                                                                                     </t>
  </si>
  <si>
    <t>м. Запоріжжя,  Шевченківський район</t>
  </si>
  <si>
    <t xml:space="preserve">Організаційно-правова форма господарювання                               </t>
  </si>
  <si>
    <t>Комунальна організація (установа, заклад)</t>
  </si>
  <si>
    <t xml:space="preserve">Код та назва типової відомчої класифікації видатків та кредитування місцевих бюджетів     </t>
  </si>
  <si>
    <t xml:space="preserve"> 06 Орган з питань освіти і науки</t>
  </si>
  <si>
    <t xml:space="preserve">Код та назва програмної класифікації видатків та кредитування місцевих бюджетів                                                
</t>
  </si>
  <si>
    <t>Інші виплати населенню (стипендія міського голови)</t>
  </si>
  <si>
    <t>Інші виплати населенню (стипендія  міського голови)</t>
  </si>
  <si>
    <t>Надійшло коштів за звітний період (січень-грудень)</t>
  </si>
  <si>
    <t>Використано коштів за звітний період (січень-грудень)</t>
  </si>
  <si>
    <t xml:space="preserve">про надходження та використання коштів </t>
  </si>
  <si>
    <t>Предмети, матеріали, обладнання та інвентар Депутатський фонд</t>
  </si>
  <si>
    <t>Оплата послуг (крім комунальних) Депутатський фонд</t>
  </si>
  <si>
    <t>Придбання обладнання і предметів довгострокового користування (депутатський фонд)</t>
  </si>
  <si>
    <t>Протипожежні заходи</t>
  </si>
  <si>
    <t/>
  </si>
  <si>
    <t>Заклад дошкільної освіти (ясла-садок) комбінованого типу №14«Мальва» Запорізької міської ради</t>
  </si>
  <si>
    <t xml:space="preserve">Спеціальний заклад дошкільної освіти (ясла-садок) №39 "Оберіг" Запорізької міської ради </t>
  </si>
  <si>
    <t xml:space="preserve">Заклад дошкільної освіти (ясла - садок) комбінованого типу №43 «Смайлик» Запорізької міської ради </t>
  </si>
  <si>
    <t>Заклад дошкільної освіти (ясла-садок) № 89 «Казковий світ» Запорізької міської ради</t>
  </si>
  <si>
    <t xml:space="preserve">Заклад дошкільної освіти (ясла-садок) №100 "Гармонія" Запорізької міської ради </t>
  </si>
  <si>
    <t>Заклад дошкільної освіти (ясла-садок) №131 «Віночок»  Запорізької міської ради</t>
  </si>
  <si>
    <t>Заклад дошкільної освіти (ясла-садок) №133 «Струмочок»  Запорізької міської ради</t>
  </si>
  <si>
    <t xml:space="preserve">Заклад дошкільної освіти (ясла-садок) № 135 "Лебідь" Запорізької міської ради
</t>
  </si>
  <si>
    <t xml:space="preserve">Заклад дошкільної освіти (ясла-садок)
№ 143 «Квітковий» Запорізької міської ради
</t>
  </si>
  <si>
    <t>Заклад дошкільної освіти (ясла-садок) № 159 «Сузір’я» Запорізької ради</t>
  </si>
  <si>
    <t xml:space="preserve">Заклад дошкільної освіти (центр розвитку дитини) “Надія” Запорізької міської ради </t>
  </si>
  <si>
    <t xml:space="preserve">Заклад дошкільної освіти (ясла-садок) № 196 "Рожева зоренька" Запорізької міської ради </t>
  </si>
  <si>
    <t>Заклад дошкільної освіти (ясла-садок) № 210 «Славутич» Запорізької міської ради</t>
  </si>
  <si>
    <t>Заклад дошкільної освіти (ясла-садок) комбінованого типу № 217 «Грайлик» Запорізької міської ради</t>
  </si>
  <si>
    <t xml:space="preserve">Заклад дошкільної освіти (ясла-садок) комбінованого типу №226 "Дивограй" Запорізької міської ради </t>
  </si>
  <si>
    <t>Заклад дошкільної освіти (ясла-садок) комбінованого типу № 244 "Біла лілея" Запорізької міської ради</t>
  </si>
  <si>
    <t xml:space="preserve">Заклад дошкільної освіти (ясла-садок) №270 «Іскринка» Запорізької міської ради 
</t>
  </si>
  <si>
    <t xml:space="preserve">Заклад дошкільної освіти (ясла-садок) комбінованого типу № 280 «Родзинка» Запорізької міської ради </t>
  </si>
  <si>
    <t>Заклад дошкільної освіти (ясла-садок) комбінованого типу №284 «Зірковий» Запорізької міської ради</t>
  </si>
  <si>
    <t>за 2022 рік</t>
  </si>
  <si>
    <t>Видатки пов'язані з наданням підтримки внутрішньо переміщеним та/або евакуйованим особам у звязку із введенням военного стану</t>
  </si>
  <si>
    <t>Обладнання для облаштування найпростіших укриттів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</si>
</sst>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10"/>
      <name val="Arial Cyr"/>
      <charset val="204"/>
    </font>
    <font>
      <b/>
      <sz val="9"/>
      <name val="Times New Roman Cyr"/>
      <charset val="204"/>
    </font>
    <font>
      <b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6">
    <xf numFmtId="0" fontId="0" fillId="0" borderId="0" xfId="0" applyFont="1" applyAlignme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4" borderId="0" xfId="0" applyFont="1" applyFill="1" applyAlignment="1"/>
    <xf numFmtId="0" fontId="0" fillId="5" borderId="0" xfId="0" applyFont="1" applyFill="1" applyAlignment="1"/>
    <xf numFmtId="0" fontId="0" fillId="6" borderId="0" xfId="0" applyFont="1" applyFill="1" applyAlignment="1"/>
    <xf numFmtId="0" fontId="0" fillId="7" borderId="0" xfId="0" applyFont="1" applyFill="1" applyAlignment="1"/>
    <xf numFmtId="0" fontId="0" fillId="3" borderId="0" xfId="0" applyFont="1" applyFill="1" applyAlignment="1"/>
    <xf numFmtId="0" fontId="0" fillId="0" borderId="0" xfId="0" applyFont="1" applyFill="1" applyAlignment="1"/>
    <xf numFmtId="0" fontId="0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0" fillId="0" borderId="0" xfId="0" applyNumberFormat="1" applyFont="1" applyAlignment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" fontId="0" fillId="0" borderId="0" xfId="0" applyNumberFormat="1" applyFont="1" applyFill="1" applyAlignment="1"/>
    <xf numFmtId="0" fontId="7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1" applyFont="1" applyFill="1" applyBorder="1" applyAlignment="1">
      <alignment wrapText="1"/>
    </xf>
    <xf numFmtId="0" fontId="9" fillId="0" borderId="1" xfId="1" applyFont="1" applyFill="1" applyBorder="1" applyAlignment="1">
      <alignment horizontal="center" vertical="top"/>
    </xf>
    <xf numFmtId="4" fontId="9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0" fillId="0" borderId="0" xfId="0" quotePrefix="1" applyFill="1" applyAlignment="1"/>
    <xf numFmtId="0" fontId="0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/>
    <xf numFmtId="4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5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87"/>
  <sheetViews>
    <sheetView tabSelected="1" view="pageBreakPreview" zoomScaleNormal="60" zoomScaleSheetLayoutView="100" workbookViewId="0">
      <selection activeCell="E1" sqref="E1:G1048576"/>
    </sheetView>
  </sheetViews>
  <sheetFormatPr defaultColWidth="14.42578125" defaultRowHeight="15" customHeight="1"/>
  <cols>
    <col min="1" max="1" width="57.85546875" style="10" customWidth="1"/>
    <col min="2" max="2" width="10.85546875" style="10" customWidth="1"/>
    <col min="3" max="4" width="17.42578125" style="10" customWidth="1"/>
    <col min="5" max="16384" width="14.42578125" style="10"/>
  </cols>
  <sheetData>
    <row r="1" spans="1:4">
      <c r="A1" s="41" t="s">
        <v>0</v>
      </c>
      <c r="B1" s="40"/>
      <c r="C1" s="40"/>
      <c r="D1" s="40"/>
    </row>
    <row r="2" spans="1:4">
      <c r="A2" s="41" t="s">
        <v>35</v>
      </c>
      <c r="B2" s="40"/>
      <c r="C2" s="40"/>
      <c r="D2" s="40"/>
    </row>
    <row r="3" spans="1:4">
      <c r="A3" s="41" t="s">
        <v>60</v>
      </c>
      <c r="B3" s="40"/>
      <c r="C3" s="40"/>
      <c r="D3" s="40"/>
    </row>
    <row r="4" spans="1:4">
      <c r="A4" s="15"/>
      <c r="B4" s="15"/>
      <c r="C4" s="16"/>
    </row>
    <row r="5" spans="1:4" ht="51.75" customHeight="1">
      <c r="A5" s="17" t="s">
        <v>23</v>
      </c>
      <c r="B5" s="38" t="s">
        <v>41</v>
      </c>
      <c r="C5" s="38"/>
      <c r="D5" s="38"/>
    </row>
    <row r="6" spans="1:4">
      <c r="A6" s="17" t="s">
        <v>24</v>
      </c>
      <c r="B6" s="18" t="s">
        <v>25</v>
      </c>
    </row>
    <row r="7" spans="1:4">
      <c r="A7" s="17" t="s">
        <v>26</v>
      </c>
      <c r="B7" s="18" t="s">
        <v>27</v>
      </c>
    </row>
    <row r="8" spans="1:4" ht="25.5">
      <c r="A8" s="15" t="s">
        <v>28</v>
      </c>
      <c r="B8" s="18" t="s">
        <v>29</v>
      </c>
    </row>
    <row r="9" spans="1:4" ht="38.25">
      <c r="A9" s="15" t="s">
        <v>30</v>
      </c>
      <c r="B9" s="18" t="s">
        <v>20</v>
      </c>
    </row>
    <row r="10" spans="1:4">
      <c r="A10" s="19" t="s">
        <v>21</v>
      </c>
    </row>
    <row r="11" spans="1:4">
      <c r="A11" s="19" t="s">
        <v>1</v>
      </c>
    </row>
    <row r="12" spans="1:4" ht="16.5" customHeight="1">
      <c r="A12" s="39"/>
      <c r="B12" s="40"/>
      <c r="C12" s="40"/>
      <c r="D12" s="40"/>
    </row>
    <row r="13" spans="1:4" ht="36">
      <c r="A13" s="22" t="s">
        <v>2</v>
      </c>
      <c r="B13" s="22" t="s">
        <v>22</v>
      </c>
      <c r="C13" s="22" t="s">
        <v>33</v>
      </c>
      <c r="D13" s="22" t="s">
        <v>34</v>
      </c>
    </row>
    <row r="14" spans="1:4">
      <c r="A14" s="23">
        <v>1</v>
      </c>
      <c r="B14" s="23">
        <v>2</v>
      </c>
      <c r="C14" s="23">
        <v>3</v>
      </c>
      <c r="D14" s="23">
        <v>4</v>
      </c>
    </row>
    <row r="15" spans="1:4" ht="15.75" customHeight="1">
      <c r="A15" s="23" t="s">
        <v>3</v>
      </c>
      <c r="B15" s="23" t="s">
        <v>4</v>
      </c>
      <c r="C15" s="24">
        <f>C16+C34</f>
        <v>581994.61</v>
      </c>
      <c r="D15" s="24">
        <f>C15</f>
        <v>581994.61</v>
      </c>
    </row>
    <row r="16" spans="1:4" ht="36" customHeight="1">
      <c r="A16" s="22" t="s">
        <v>18</v>
      </c>
      <c r="B16" s="23">
        <v>2000</v>
      </c>
      <c r="C16" s="24">
        <f>C17+C32</f>
        <v>581994.61</v>
      </c>
      <c r="D16" s="24">
        <f t="shared" ref="D16:D35" si="0">C16</f>
        <v>581994.61</v>
      </c>
    </row>
    <row r="17" spans="1:4" ht="15.75" customHeight="1">
      <c r="A17" s="25" t="s">
        <v>5</v>
      </c>
      <c r="B17" s="23">
        <v>2200</v>
      </c>
      <c r="C17" s="24">
        <f>C18+C20+C21+C22+C26+C23+C25+C19+C24</f>
        <v>581994.61</v>
      </c>
      <c r="D17" s="24">
        <f t="shared" si="0"/>
        <v>581994.61</v>
      </c>
    </row>
    <row r="18" spans="1:4" ht="15.75" customHeight="1">
      <c r="A18" s="26" t="s">
        <v>6</v>
      </c>
      <c r="B18" s="37">
        <v>2210</v>
      </c>
      <c r="C18" s="28">
        <f>3120+3865+1149.5+2784.43</f>
        <v>10918.93</v>
      </c>
      <c r="D18" s="28">
        <f t="shared" ref="D18:D25" si="1">C18</f>
        <v>10918.93</v>
      </c>
    </row>
    <row r="19" spans="1:4" s="34" customFormat="1" ht="30" customHeight="1">
      <c r="A19" s="25" t="s">
        <v>61</v>
      </c>
      <c r="B19" s="23">
        <v>2210</v>
      </c>
      <c r="C19" s="36">
        <f>3950+9250+7320+19870</f>
        <v>40390</v>
      </c>
      <c r="D19" s="36">
        <f t="shared" si="1"/>
        <v>40390</v>
      </c>
    </row>
    <row r="20" spans="1:4" ht="15.75" customHeight="1">
      <c r="A20" s="26" t="s">
        <v>36</v>
      </c>
      <c r="B20" s="27">
        <v>2210</v>
      </c>
      <c r="C20" s="28"/>
      <c r="D20" s="28">
        <f t="shared" si="1"/>
        <v>0</v>
      </c>
    </row>
    <row r="21" spans="1:4" ht="15.75" customHeight="1">
      <c r="A21" s="25" t="s">
        <v>7</v>
      </c>
      <c r="B21" s="23">
        <v>2240</v>
      </c>
      <c r="C21" s="24">
        <f>450+4455+1754.96+1097.48+6000+2074.89</f>
        <v>15832.33</v>
      </c>
      <c r="D21" s="28">
        <f t="shared" si="1"/>
        <v>15832.33</v>
      </c>
    </row>
    <row r="22" spans="1:4" ht="15.75" customHeight="1">
      <c r="A22" s="25" t="s">
        <v>37</v>
      </c>
      <c r="B22" s="23">
        <v>2240</v>
      </c>
      <c r="C22" s="24"/>
      <c r="D22" s="28">
        <f t="shared" si="1"/>
        <v>0</v>
      </c>
    </row>
    <row r="23" spans="1:4" ht="15.75" customHeight="1">
      <c r="A23" s="25" t="s">
        <v>19</v>
      </c>
      <c r="B23" s="23">
        <v>2240</v>
      </c>
      <c r="C23" s="24">
        <f>18163.31+11836.69</f>
        <v>30000</v>
      </c>
      <c r="D23" s="28">
        <f t="shared" si="1"/>
        <v>30000</v>
      </c>
    </row>
    <row r="24" spans="1:4" s="34" customFormat="1" ht="28.5" customHeight="1">
      <c r="A24" s="25" t="s">
        <v>61</v>
      </c>
      <c r="B24" s="23">
        <v>2240</v>
      </c>
      <c r="C24" s="24"/>
      <c r="D24" s="24">
        <f t="shared" si="1"/>
        <v>0</v>
      </c>
    </row>
    <row r="25" spans="1:4" ht="15.75" customHeight="1">
      <c r="A25" s="25" t="s">
        <v>39</v>
      </c>
      <c r="B25" s="23">
        <v>2240</v>
      </c>
      <c r="C25" s="24">
        <f>2687.78+780</f>
        <v>3467.78</v>
      </c>
      <c r="D25" s="28">
        <f t="shared" si="1"/>
        <v>3467.78</v>
      </c>
    </row>
    <row r="26" spans="1:4" ht="15.75" customHeight="1">
      <c r="A26" s="25" t="s">
        <v>15</v>
      </c>
      <c r="B26" s="23">
        <v>2270</v>
      </c>
      <c r="C26" s="24">
        <f>SUM(C27:C31)</f>
        <v>481385.56999999995</v>
      </c>
      <c r="D26" s="24">
        <f t="shared" si="0"/>
        <v>481385.56999999995</v>
      </c>
    </row>
    <row r="27" spans="1:4" ht="15.75" customHeight="1">
      <c r="A27" s="29" t="s">
        <v>9</v>
      </c>
      <c r="B27" s="22">
        <v>2271</v>
      </c>
      <c r="C27" s="30">
        <f>288110.93+63248.61</f>
        <v>351359.54</v>
      </c>
      <c r="D27" s="30">
        <f t="shared" si="0"/>
        <v>351359.54</v>
      </c>
    </row>
    <row r="28" spans="1:4" ht="15.75" customHeight="1">
      <c r="A28" s="29" t="s">
        <v>10</v>
      </c>
      <c r="B28" s="22">
        <v>2272</v>
      </c>
      <c r="C28" s="30">
        <f>12597.26+2184.34</f>
        <v>14781.6</v>
      </c>
      <c r="D28" s="30">
        <f t="shared" si="0"/>
        <v>14781.6</v>
      </c>
    </row>
    <row r="29" spans="1:4" ht="15.75" customHeight="1">
      <c r="A29" s="29" t="s">
        <v>11</v>
      </c>
      <c r="B29" s="22">
        <v>2273</v>
      </c>
      <c r="C29" s="30">
        <f>89813.4+21461.79</f>
        <v>111275.19</v>
      </c>
      <c r="D29" s="30">
        <f t="shared" si="0"/>
        <v>111275.19</v>
      </c>
    </row>
    <row r="30" spans="1:4" ht="15.75" hidden="1" customHeight="1">
      <c r="A30" s="29" t="s">
        <v>12</v>
      </c>
      <c r="B30" s="22">
        <v>2274</v>
      </c>
      <c r="C30" s="30">
        <v>0</v>
      </c>
      <c r="D30" s="30">
        <f t="shared" si="0"/>
        <v>0</v>
      </c>
    </row>
    <row r="31" spans="1:4" ht="15.75" customHeight="1">
      <c r="A31" s="29" t="s">
        <v>8</v>
      </c>
      <c r="B31" s="22">
        <v>2275</v>
      </c>
      <c r="C31" s="31">
        <f>2954.26+1014.98</f>
        <v>3969.2400000000002</v>
      </c>
      <c r="D31" s="31">
        <f t="shared" si="0"/>
        <v>3969.2400000000002</v>
      </c>
    </row>
    <row r="32" spans="1:4" ht="15.75" customHeight="1">
      <c r="A32" s="25" t="s">
        <v>13</v>
      </c>
      <c r="B32" s="23">
        <v>2700</v>
      </c>
      <c r="C32" s="30">
        <f>C33</f>
        <v>0</v>
      </c>
      <c r="D32" s="30">
        <f t="shared" si="0"/>
        <v>0</v>
      </c>
    </row>
    <row r="33" spans="1:4" ht="15.75" customHeight="1">
      <c r="A33" s="29" t="s">
        <v>31</v>
      </c>
      <c r="B33" s="22">
        <v>2730</v>
      </c>
      <c r="C33" s="30"/>
      <c r="D33" s="30">
        <f t="shared" si="0"/>
        <v>0</v>
      </c>
    </row>
    <row r="34" spans="1:4" ht="15.75" customHeight="1">
      <c r="A34" s="23" t="s">
        <v>14</v>
      </c>
      <c r="B34" s="23">
        <v>3000</v>
      </c>
      <c r="C34" s="30">
        <f>C35</f>
        <v>0</v>
      </c>
      <c r="D34" s="30">
        <f t="shared" si="0"/>
        <v>0</v>
      </c>
    </row>
    <row r="35" spans="1:4" ht="15.75" customHeight="1">
      <c r="A35" s="29" t="s">
        <v>16</v>
      </c>
      <c r="B35" s="22">
        <v>3110</v>
      </c>
      <c r="C35" s="30"/>
      <c r="D35" s="30">
        <f t="shared" si="0"/>
        <v>0</v>
      </c>
    </row>
    <row r="36" spans="1:4" ht="15" customHeight="1">
      <c r="A36" s="21"/>
    </row>
    <row r="37" spans="1:4" ht="35.450000000000003" customHeight="1"/>
    <row r="38" spans="1:4" ht="15.75" customHeight="1"/>
    <row r="39" spans="1:4" ht="15.75" customHeight="1"/>
    <row r="40" spans="1:4" ht="36" customHeight="1"/>
    <row r="41" spans="1:4" ht="15.75" customHeight="1"/>
    <row r="42" spans="1:4" ht="15.75" customHeight="1"/>
    <row r="43" spans="1:4" ht="15.75" customHeight="1"/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25.5" customHeight="1"/>
    <row r="73" ht="15.75" customHeight="1"/>
    <row r="74" ht="15.75" customHeight="1"/>
    <row r="75" ht="42.6" customHeight="1"/>
    <row r="76" ht="15.75" customHeight="1"/>
    <row r="77" ht="15.75" customHeight="1"/>
    <row r="78" ht="36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25.5" customHeight="1"/>
    <row r="111" ht="15.75" customHeight="1"/>
    <row r="112" ht="15.75" customHeight="1"/>
    <row r="113" ht="39" customHeight="1"/>
    <row r="114" ht="15.75" customHeight="1"/>
    <row r="115" ht="15.75" customHeight="1"/>
    <row r="116" ht="36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25.5" customHeight="1"/>
    <row r="149" ht="15.75" customHeight="1"/>
    <row r="150" ht="15.75" customHeight="1"/>
    <row r="151" ht="43.15" customHeight="1"/>
    <row r="152" ht="20.25" customHeight="1"/>
    <row r="153" ht="15.75" customHeight="1"/>
    <row r="154" ht="36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25.5" customHeight="1"/>
    <row r="187" ht="15.75" customHeight="1"/>
    <row r="188" ht="16.149999999999999" customHeight="1"/>
    <row r="189" ht="48" customHeight="1"/>
    <row r="190" ht="15.75" customHeight="1"/>
    <row r="191" ht="15.75" customHeight="1"/>
    <row r="192" ht="36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25.5" customHeight="1"/>
    <row r="225" ht="15.75" customHeight="1"/>
    <row r="226" ht="15.75" customHeight="1"/>
    <row r="227" ht="50.45" customHeight="1"/>
    <row r="228" ht="15.75" customHeight="1"/>
    <row r="229" ht="15.75" customHeight="1"/>
    <row r="230" ht="36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25.5" customHeight="1"/>
    <row r="263" ht="15.75" customHeight="1"/>
    <row r="264" ht="15.75" customHeight="1"/>
    <row r="265" ht="44.45" customHeight="1"/>
    <row r="266" ht="15.75" customHeight="1"/>
    <row r="267" ht="15.75" customHeight="1"/>
    <row r="268" ht="36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25.5" customHeight="1"/>
    <row r="301" ht="15.75" customHeight="1"/>
    <row r="302" ht="15.75" customHeight="1"/>
    <row r="303" ht="46.9" customHeight="1"/>
    <row r="304" ht="15.75" customHeight="1"/>
    <row r="305" ht="15.75" customHeight="1"/>
    <row r="306" ht="36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25.5" customHeight="1"/>
    <row r="339" ht="15.75" customHeight="1"/>
    <row r="340" ht="15.75" customHeight="1"/>
    <row r="341" ht="51" customHeight="1"/>
    <row r="342" ht="15.75" customHeight="1"/>
    <row r="343" ht="15.75" customHeight="1"/>
    <row r="344" ht="36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25.5" customHeight="1"/>
    <row r="377" ht="15.75" customHeight="1"/>
    <row r="378" ht="15.75" customHeight="1"/>
    <row r="379" ht="51" customHeight="1"/>
    <row r="380" ht="15.75" customHeight="1"/>
    <row r="381" ht="15.75" customHeight="1"/>
    <row r="382" ht="36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25.5" customHeight="1"/>
    <row r="415" ht="15.75" customHeight="1"/>
    <row r="416" ht="15.75" customHeight="1"/>
    <row r="417" ht="61.15" customHeight="1"/>
    <row r="418" ht="15.75" customHeight="1"/>
    <row r="419" ht="15.75" customHeight="1"/>
    <row r="420" ht="36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25.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</sheetData>
  <mergeCells count="5">
    <mergeCell ref="B5:D5"/>
    <mergeCell ref="A12:D12"/>
    <mergeCell ref="A1:D1"/>
    <mergeCell ref="A3:D3"/>
    <mergeCell ref="A2:D2"/>
  </mergeCells>
  <pageMargins left="0.70866141732283472" right="0.70866141732283472" top="0.55118110236220474" bottom="0.35433070866141736" header="0" footer="0"/>
  <pageSetup paperSize="9"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425"/>
  <sheetViews>
    <sheetView view="pageBreakPreview" zoomScaleNormal="70" zoomScaleSheetLayoutView="100" workbookViewId="0">
      <selection activeCell="E1" sqref="E1:G1048576"/>
    </sheetView>
  </sheetViews>
  <sheetFormatPr defaultColWidth="14.42578125" defaultRowHeight="15" customHeight="1"/>
  <cols>
    <col min="1" max="1" width="57.85546875" style="11" customWidth="1"/>
    <col min="2" max="2" width="10.85546875" style="11" customWidth="1"/>
    <col min="3" max="4" width="17.42578125" style="11" customWidth="1"/>
    <col min="5" max="16384" width="14.42578125" style="11"/>
  </cols>
  <sheetData>
    <row r="1" spans="1:4">
      <c r="A1" s="42" t="s">
        <v>0</v>
      </c>
      <c r="B1" s="43"/>
      <c r="C1" s="43"/>
      <c r="D1" s="43"/>
    </row>
    <row r="2" spans="1:4">
      <c r="A2" s="41" t="s">
        <v>35</v>
      </c>
      <c r="B2" s="40"/>
      <c r="C2" s="40"/>
      <c r="D2" s="40"/>
    </row>
    <row r="3" spans="1:4">
      <c r="A3" s="41" t="s">
        <v>60</v>
      </c>
      <c r="B3" s="40"/>
      <c r="C3" s="40"/>
      <c r="D3" s="40"/>
    </row>
    <row r="4" spans="1:4">
      <c r="A4" s="1"/>
      <c r="B4" s="1"/>
      <c r="C4" s="2"/>
    </row>
    <row r="5" spans="1:4" ht="45" customHeight="1">
      <c r="A5" s="13" t="s">
        <v>23</v>
      </c>
      <c r="B5" s="44" t="s">
        <v>50</v>
      </c>
      <c r="C5" s="44"/>
      <c r="D5" s="44"/>
    </row>
    <row r="6" spans="1:4">
      <c r="A6" s="13" t="s">
        <v>24</v>
      </c>
      <c r="B6" s="12" t="s">
        <v>25</v>
      </c>
    </row>
    <row r="7" spans="1:4">
      <c r="A7" s="13" t="s">
        <v>26</v>
      </c>
      <c r="B7" s="12" t="s">
        <v>27</v>
      </c>
    </row>
    <row r="8" spans="1:4" ht="25.5">
      <c r="A8" s="1" t="s">
        <v>28</v>
      </c>
      <c r="B8" s="12" t="s">
        <v>29</v>
      </c>
    </row>
    <row r="9" spans="1:4" ht="38.25">
      <c r="A9" s="1" t="s">
        <v>30</v>
      </c>
      <c r="B9" s="12" t="s">
        <v>20</v>
      </c>
    </row>
    <row r="10" spans="1:4">
      <c r="A10" s="3" t="s">
        <v>21</v>
      </c>
    </row>
    <row r="11" spans="1:4">
      <c r="A11" s="3" t="s">
        <v>1</v>
      </c>
    </row>
    <row r="12" spans="1:4" ht="15.75">
      <c r="A12" s="45"/>
      <c r="B12" s="43"/>
      <c r="C12" s="43"/>
      <c r="D12" s="43"/>
    </row>
    <row r="13" spans="1:4" ht="36">
      <c r="A13" s="22" t="s">
        <v>2</v>
      </c>
      <c r="B13" s="22" t="s">
        <v>22</v>
      </c>
      <c r="C13" s="22" t="s">
        <v>33</v>
      </c>
      <c r="D13" s="22" t="s">
        <v>34</v>
      </c>
    </row>
    <row r="14" spans="1:4">
      <c r="A14" s="23">
        <v>1</v>
      </c>
      <c r="B14" s="23">
        <v>2</v>
      </c>
      <c r="C14" s="23">
        <v>3</v>
      </c>
      <c r="D14" s="23">
        <v>4</v>
      </c>
    </row>
    <row r="15" spans="1:4" s="7" customFormat="1">
      <c r="A15" s="23" t="s">
        <v>3</v>
      </c>
      <c r="B15" s="23" t="s">
        <v>4</v>
      </c>
      <c r="C15" s="24">
        <f>C16+C34</f>
        <v>761276.65</v>
      </c>
      <c r="D15" s="24">
        <f>C15</f>
        <v>761276.65</v>
      </c>
    </row>
    <row r="16" spans="1:4" s="6" customFormat="1" ht="24">
      <c r="A16" s="22" t="s">
        <v>18</v>
      </c>
      <c r="B16" s="23">
        <v>2000</v>
      </c>
      <c r="C16" s="24">
        <f>C17+C32</f>
        <v>761276.65</v>
      </c>
      <c r="D16" s="24">
        <f t="shared" ref="D16:D35" si="0">C16</f>
        <v>761276.65</v>
      </c>
    </row>
    <row r="17" spans="1:4" s="8" customFormat="1">
      <c r="A17" s="25" t="s">
        <v>5</v>
      </c>
      <c r="B17" s="23">
        <v>2200</v>
      </c>
      <c r="C17" s="24">
        <f>C18+C20+C21+C22+C26+C23+C25+C19+C24</f>
        <v>761276.65</v>
      </c>
      <c r="D17" s="24">
        <f t="shared" si="0"/>
        <v>761276.65</v>
      </c>
    </row>
    <row r="18" spans="1:4" s="9" customFormat="1">
      <c r="A18" s="26" t="s">
        <v>6</v>
      </c>
      <c r="B18" s="37">
        <v>2210</v>
      </c>
      <c r="C18" s="28">
        <f>4680+4615+1149.5+2784.43</f>
        <v>13228.93</v>
      </c>
      <c r="D18" s="28">
        <f t="shared" si="0"/>
        <v>13228.93</v>
      </c>
    </row>
    <row r="19" spans="1:4" s="9" customFormat="1" ht="24">
      <c r="A19" s="25" t="s">
        <v>61</v>
      </c>
      <c r="B19" s="23">
        <v>2210</v>
      </c>
      <c r="C19" s="36">
        <f>3950+29600+7320</f>
        <v>40870</v>
      </c>
      <c r="D19" s="36">
        <f t="shared" si="0"/>
        <v>40870</v>
      </c>
    </row>
    <row r="20" spans="1:4" s="9" customFormat="1">
      <c r="A20" s="26" t="s">
        <v>36</v>
      </c>
      <c r="B20" s="27">
        <v>2210</v>
      </c>
      <c r="C20" s="28">
        <f>4999.99+90000</f>
        <v>94999.99</v>
      </c>
      <c r="D20" s="28">
        <f t="shared" si="0"/>
        <v>94999.99</v>
      </c>
    </row>
    <row r="21" spans="1:4" s="9" customFormat="1">
      <c r="A21" s="25" t="s">
        <v>7</v>
      </c>
      <c r="B21" s="23">
        <v>2240</v>
      </c>
      <c r="C21" s="24">
        <f>450+4410+686.4+2051.48+5049+16600+2074.89</f>
        <v>31321.769999999997</v>
      </c>
      <c r="D21" s="28">
        <f t="shared" si="0"/>
        <v>31321.769999999997</v>
      </c>
    </row>
    <row r="22" spans="1:4" s="9" customFormat="1">
      <c r="A22" s="25" t="s">
        <v>37</v>
      </c>
      <c r="B22" s="23">
        <v>2240</v>
      </c>
      <c r="C22" s="24"/>
      <c r="D22" s="28">
        <f t="shared" si="0"/>
        <v>0</v>
      </c>
    </row>
    <row r="23" spans="1:4" s="9" customFormat="1">
      <c r="A23" s="25" t="s">
        <v>19</v>
      </c>
      <c r="B23" s="23">
        <v>2240</v>
      </c>
      <c r="C23" s="24"/>
      <c r="D23" s="28">
        <f t="shared" si="0"/>
        <v>0</v>
      </c>
    </row>
    <row r="24" spans="1:4" s="9" customFormat="1" ht="24">
      <c r="A24" s="25" t="s">
        <v>61</v>
      </c>
      <c r="B24" s="23">
        <v>2240</v>
      </c>
      <c r="C24" s="24">
        <f>26863.91</f>
        <v>26863.91</v>
      </c>
      <c r="D24" s="24">
        <f t="shared" si="0"/>
        <v>26863.91</v>
      </c>
    </row>
    <row r="25" spans="1:4" s="9" customFormat="1">
      <c r="A25" s="25" t="s">
        <v>39</v>
      </c>
      <c r="B25" s="23">
        <v>2240</v>
      </c>
      <c r="C25" s="24">
        <f>2775.95+845</f>
        <v>3620.95</v>
      </c>
      <c r="D25" s="28">
        <f t="shared" si="0"/>
        <v>3620.95</v>
      </c>
    </row>
    <row r="26" spans="1:4" s="9" customFormat="1">
      <c r="A26" s="25" t="s">
        <v>15</v>
      </c>
      <c r="B26" s="23">
        <v>2270</v>
      </c>
      <c r="C26" s="24">
        <f>SUM(C27:C31)</f>
        <v>550371.1</v>
      </c>
      <c r="D26" s="28">
        <f t="shared" si="0"/>
        <v>550371.1</v>
      </c>
    </row>
    <row r="27" spans="1:4">
      <c r="A27" s="29" t="s">
        <v>9</v>
      </c>
      <c r="B27" s="22">
        <v>2271</v>
      </c>
      <c r="C27" s="30">
        <f>329221.43+75132.69</f>
        <v>404354.12</v>
      </c>
      <c r="D27" s="30">
        <f t="shared" si="0"/>
        <v>404354.12</v>
      </c>
    </row>
    <row r="28" spans="1:4">
      <c r="A28" s="29" t="s">
        <v>10</v>
      </c>
      <c r="B28" s="22">
        <v>2272</v>
      </c>
      <c r="C28" s="30">
        <f>19079.47+1702.08</f>
        <v>20781.550000000003</v>
      </c>
      <c r="D28" s="30">
        <f t="shared" si="0"/>
        <v>20781.550000000003</v>
      </c>
    </row>
    <row r="29" spans="1:4">
      <c r="A29" s="29" t="s">
        <v>11</v>
      </c>
      <c r="B29" s="22">
        <v>2273</v>
      </c>
      <c r="C29" s="30">
        <f>98061.52+22809.38</f>
        <v>120870.90000000001</v>
      </c>
      <c r="D29" s="30">
        <f t="shared" si="0"/>
        <v>120870.90000000001</v>
      </c>
    </row>
    <row r="30" spans="1:4" hidden="1">
      <c r="A30" s="29" t="s">
        <v>12</v>
      </c>
      <c r="B30" s="22">
        <v>2274</v>
      </c>
      <c r="C30" s="30">
        <v>0</v>
      </c>
      <c r="D30" s="30">
        <f t="shared" si="0"/>
        <v>0</v>
      </c>
    </row>
    <row r="31" spans="1:4">
      <c r="A31" s="29" t="s">
        <v>8</v>
      </c>
      <c r="B31" s="22">
        <v>2275</v>
      </c>
      <c r="C31" s="31">
        <f>2532.22+1832.31</f>
        <v>4364.53</v>
      </c>
      <c r="D31" s="31">
        <f t="shared" si="0"/>
        <v>4364.53</v>
      </c>
    </row>
    <row r="32" spans="1:4" s="8" customFormat="1">
      <c r="A32" s="25" t="s">
        <v>13</v>
      </c>
      <c r="B32" s="23">
        <v>2700</v>
      </c>
      <c r="C32" s="30">
        <f>C33</f>
        <v>0</v>
      </c>
      <c r="D32" s="30">
        <f t="shared" si="0"/>
        <v>0</v>
      </c>
    </row>
    <row r="33" spans="1:4">
      <c r="A33" s="29" t="s">
        <v>32</v>
      </c>
      <c r="B33" s="22">
        <v>2730</v>
      </c>
      <c r="C33" s="30"/>
      <c r="D33" s="30">
        <f t="shared" si="0"/>
        <v>0</v>
      </c>
    </row>
    <row r="34" spans="1:4" s="6" customFormat="1">
      <c r="A34" s="23" t="s">
        <v>14</v>
      </c>
      <c r="B34" s="23">
        <v>3000</v>
      </c>
      <c r="C34" s="30">
        <f>C35</f>
        <v>0</v>
      </c>
      <c r="D34" s="30">
        <f t="shared" si="0"/>
        <v>0</v>
      </c>
    </row>
    <row r="35" spans="1:4">
      <c r="A35" s="29" t="s">
        <v>16</v>
      </c>
      <c r="B35" s="22">
        <v>3110</v>
      </c>
      <c r="C35" s="30"/>
      <c r="D35" s="30">
        <f t="shared" si="0"/>
        <v>0</v>
      </c>
    </row>
    <row r="36" spans="1:4" ht="18">
      <c r="A36" s="4"/>
      <c r="C36" s="14"/>
      <c r="D36" s="14"/>
    </row>
    <row r="43" spans="1:4" s="5" customFormat="1"/>
    <row r="44" spans="1:4" s="5" customFormat="1"/>
    <row r="45" spans="1:4" s="5" customFormat="1"/>
    <row r="81" s="5" customFormat="1"/>
    <row r="82" s="5" customFormat="1"/>
    <row r="83" s="5" customFormat="1"/>
    <row r="119" s="5" customFormat="1"/>
    <row r="120" s="5" customFormat="1"/>
    <row r="121" s="5" customFormat="1"/>
    <row r="157" s="5" customFormat="1"/>
    <row r="158" s="5" customFormat="1"/>
    <row r="159" s="5" customFormat="1"/>
    <row r="195" s="5" customFormat="1"/>
    <row r="196" s="5" customFormat="1"/>
    <row r="197" s="5" customFormat="1"/>
    <row r="233" s="5" customFormat="1"/>
    <row r="234" s="5" customFormat="1"/>
    <row r="235" s="5" customFormat="1"/>
    <row r="271" s="5" customFormat="1"/>
    <row r="272" s="5" customFormat="1"/>
    <row r="273" s="5" customFormat="1"/>
    <row r="309" s="5" customFormat="1"/>
    <row r="310" s="5" customFormat="1"/>
    <row r="311" s="5" customFormat="1"/>
    <row r="347" s="5" customFormat="1"/>
    <row r="348" s="5" customFormat="1"/>
    <row r="349" s="5" customFormat="1"/>
    <row r="385" s="5" customFormat="1"/>
    <row r="386" s="5" customFormat="1"/>
    <row r="387" s="5" customFormat="1"/>
    <row r="423" s="5" customFormat="1"/>
    <row r="424" s="5" customFormat="1"/>
    <row r="425" s="5" customFormat="1"/>
  </sheetData>
  <mergeCells count="5">
    <mergeCell ref="A1:D1"/>
    <mergeCell ref="A2:D2"/>
    <mergeCell ref="A3:D3"/>
    <mergeCell ref="B5:D5"/>
    <mergeCell ref="A12:D12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25"/>
  <sheetViews>
    <sheetView view="pageBreakPreview" zoomScaleNormal="100" zoomScaleSheetLayoutView="100" workbookViewId="0">
      <selection activeCell="E1" sqref="E1:G1048576"/>
    </sheetView>
  </sheetViews>
  <sheetFormatPr defaultColWidth="14.42578125" defaultRowHeight="15" customHeight="1"/>
  <cols>
    <col min="1" max="1" width="57.85546875" style="11" customWidth="1"/>
    <col min="2" max="2" width="10.85546875" style="11" customWidth="1"/>
    <col min="3" max="4" width="17.42578125" style="11" customWidth="1"/>
    <col min="5" max="16384" width="14.42578125" style="11"/>
  </cols>
  <sheetData>
    <row r="1" spans="1:4">
      <c r="A1" s="42" t="s">
        <v>0</v>
      </c>
      <c r="B1" s="43"/>
      <c r="C1" s="43"/>
      <c r="D1" s="43"/>
    </row>
    <row r="2" spans="1:4">
      <c r="A2" s="41" t="s">
        <v>35</v>
      </c>
      <c r="B2" s="40"/>
      <c r="C2" s="40"/>
      <c r="D2" s="40"/>
    </row>
    <row r="3" spans="1:4">
      <c r="A3" s="41" t="s">
        <v>60</v>
      </c>
      <c r="B3" s="40"/>
      <c r="C3" s="40"/>
      <c r="D3" s="40"/>
    </row>
    <row r="4" spans="1:4">
      <c r="A4" s="1"/>
      <c r="B4" s="1"/>
      <c r="C4" s="2"/>
    </row>
    <row r="5" spans="1:4" ht="45" customHeight="1">
      <c r="A5" s="13" t="s">
        <v>23</v>
      </c>
      <c r="B5" s="44" t="s">
        <v>51</v>
      </c>
      <c r="C5" s="44"/>
      <c r="D5" s="44"/>
    </row>
    <row r="6" spans="1:4">
      <c r="A6" s="13" t="s">
        <v>24</v>
      </c>
      <c r="B6" s="12" t="s">
        <v>25</v>
      </c>
    </row>
    <row r="7" spans="1:4">
      <c r="A7" s="13" t="s">
        <v>26</v>
      </c>
      <c r="B7" s="12" t="s">
        <v>27</v>
      </c>
    </row>
    <row r="8" spans="1:4" ht="25.5">
      <c r="A8" s="1" t="s">
        <v>28</v>
      </c>
      <c r="B8" s="12" t="s">
        <v>29</v>
      </c>
    </row>
    <row r="9" spans="1:4" ht="38.25">
      <c r="A9" s="1" t="s">
        <v>30</v>
      </c>
      <c r="B9" s="12" t="s">
        <v>20</v>
      </c>
    </row>
    <row r="10" spans="1:4">
      <c r="A10" s="3" t="s">
        <v>21</v>
      </c>
    </row>
    <row r="11" spans="1:4">
      <c r="A11" s="3" t="s">
        <v>1</v>
      </c>
    </row>
    <row r="12" spans="1:4" ht="15.75">
      <c r="A12" s="45"/>
      <c r="B12" s="43"/>
      <c r="C12" s="43"/>
      <c r="D12" s="43"/>
    </row>
    <row r="13" spans="1:4" ht="36">
      <c r="A13" s="22" t="s">
        <v>2</v>
      </c>
      <c r="B13" s="22" t="s">
        <v>22</v>
      </c>
      <c r="C13" s="22" t="s">
        <v>33</v>
      </c>
      <c r="D13" s="22" t="s">
        <v>34</v>
      </c>
    </row>
    <row r="14" spans="1:4">
      <c r="A14" s="23">
        <v>1</v>
      </c>
      <c r="B14" s="23">
        <v>2</v>
      </c>
      <c r="C14" s="23">
        <v>3</v>
      </c>
      <c r="D14" s="23">
        <v>4</v>
      </c>
    </row>
    <row r="15" spans="1:4" s="7" customFormat="1">
      <c r="A15" s="23" t="s">
        <v>3</v>
      </c>
      <c r="B15" s="23" t="s">
        <v>4</v>
      </c>
      <c r="C15" s="24">
        <f>C16+C34</f>
        <v>906231.6100000001</v>
      </c>
      <c r="D15" s="24">
        <f>C15</f>
        <v>906231.6100000001</v>
      </c>
    </row>
    <row r="16" spans="1:4" s="6" customFormat="1" ht="24">
      <c r="A16" s="22" t="s">
        <v>18</v>
      </c>
      <c r="B16" s="23">
        <v>2000</v>
      </c>
      <c r="C16" s="24">
        <f>C17+C32</f>
        <v>906231.6100000001</v>
      </c>
      <c r="D16" s="24">
        <f t="shared" ref="D16:D35" si="0">C16</f>
        <v>906231.6100000001</v>
      </c>
    </row>
    <row r="17" spans="1:4" s="8" customFormat="1">
      <c r="A17" s="25" t="s">
        <v>5</v>
      </c>
      <c r="B17" s="23">
        <v>2200</v>
      </c>
      <c r="C17" s="24">
        <f>C18+C20+C21+C22+C26+C23+C25+C19+C24</f>
        <v>906231.6100000001</v>
      </c>
      <c r="D17" s="24">
        <f t="shared" si="0"/>
        <v>906231.6100000001</v>
      </c>
    </row>
    <row r="18" spans="1:4" s="9" customFormat="1">
      <c r="A18" s="26" t="s">
        <v>6</v>
      </c>
      <c r="B18" s="37">
        <v>2210</v>
      </c>
      <c r="C18" s="36">
        <f>5850+6635+1149.5+2784.43</f>
        <v>16418.93</v>
      </c>
      <c r="D18" s="36">
        <f t="shared" si="0"/>
        <v>16418.93</v>
      </c>
    </row>
    <row r="19" spans="1:4" s="9" customFormat="1" ht="24">
      <c r="A19" s="25" t="s">
        <v>61</v>
      </c>
      <c r="B19" s="23">
        <v>2210</v>
      </c>
      <c r="C19" s="36">
        <f>3950</f>
        <v>3950</v>
      </c>
      <c r="D19" s="36">
        <f t="shared" si="0"/>
        <v>3950</v>
      </c>
    </row>
    <row r="20" spans="1:4" s="9" customFormat="1">
      <c r="A20" s="26" t="s">
        <v>36</v>
      </c>
      <c r="B20" s="37">
        <v>2210</v>
      </c>
      <c r="C20" s="36">
        <f>46594.09</f>
        <v>46594.09</v>
      </c>
      <c r="D20" s="36">
        <f t="shared" si="0"/>
        <v>46594.09</v>
      </c>
    </row>
    <row r="21" spans="1:4" s="9" customFormat="1">
      <c r="A21" s="25" t="s">
        <v>7</v>
      </c>
      <c r="B21" s="23">
        <v>2240</v>
      </c>
      <c r="C21" s="24">
        <f>550+3132+1372.8+1979.48+6000+2074.89</f>
        <v>15109.17</v>
      </c>
      <c r="D21" s="28">
        <f t="shared" si="0"/>
        <v>15109.17</v>
      </c>
    </row>
    <row r="22" spans="1:4" s="9" customFormat="1">
      <c r="A22" s="25" t="s">
        <v>37</v>
      </c>
      <c r="B22" s="23">
        <v>2240</v>
      </c>
      <c r="C22" s="24">
        <f>32000+10000+35000</f>
        <v>77000</v>
      </c>
      <c r="D22" s="28">
        <f t="shared" si="0"/>
        <v>77000</v>
      </c>
    </row>
    <row r="23" spans="1:4" s="9" customFormat="1">
      <c r="A23" s="25" t="s">
        <v>19</v>
      </c>
      <c r="B23" s="23">
        <v>2240</v>
      </c>
      <c r="C23" s="24"/>
      <c r="D23" s="28">
        <f t="shared" si="0"/>
        <v>0</v>
      </c>
    </row>
    <row r="24" spans="1:4" s="9" customFormat="1" ht="24">
      <c r="A24" s="25" t="s">
        <v>61</v>
      </c>
      <c r="B24" s="23">
        <v>2240</v>
      </c>
      <c r="C24" s="24">
        <f>15416.14</f>
        <v>15416.14</v>
      </c>
      <c r="D24" s="24">
        <f t="shared" si="0"/>
        <v>15416.14</v>
      </c>
    </row>
    <row r="25" spans="1:4" s="9" customFormat="1">
      <c r="A25" s="25" t="s">
        <v>39</v>
      </c>
      <c r="B25" s="23">
        <v>2240</v>
      </c>
      <c r="C25" s="24">
        <f>2548.68+650</f>
        <v>3198.68</v>
      </c>
      <c r="D25" s="28">
        <f t="shared" si="0"/>
        <v>3198.68</v>
      </c>
    </row>
    <row r="26" spans="1:4" s="9" customFormat="1">
      <c r="A26" s="25" t="s">
        <v>15</v>
      </c>
      <c r="B26" s="23">
        <v>2270</v>
      </c>
      <c r="C26" s="24">
        <f>SUM(C27:C31)</f>
        <v>728544.60000000009</v>
      </c>
      <c r="D26" s="28">
        <f t="shared" si="0"/>
        <v>728544.60000000009</v>
      </c>
    </row>
    <row r="27" spans="1:4">
      <c r="A27" s="29" t="s">
        <v>9</v>
      </c>
      <c r="B27" s="22">
        <v>2271</v>
      </c>
      <c r="C27" s="30">
        <f>487243.67+99041.24</f>
        <v>586284.91</v>
      </c>
      <c r="D27" s="28">
        <f t="shared" si="0"/>
        <v>586284.91</v>
      </c>
    </row>
    <row r="28" spans="1:4">
      <c r="A28" s="29" t="s">
        <v>10</v>
      </c>
      <c r="B28" s="22">
        <v>2272</v>
      </c>
      <c r="C28" s="30">
        <f>16428.62+1787.18</f>
        <v>18215.8</v>
      </c>
      <c r="D28" s="30">
        <f t="shared" si="0"/>
        <v>18215.8</v>
      </c>
    </row>
    <row r="29" spans="1:4">
      <c r="A29" s="29" t="s">
        <v>11</v>
      </c>
      <c r="B29" s="22">
        <v>2273</v>
      </c>
      <c r="C29" s="30">
        <f>103011.63+15203.96</f>
        <v>118215.59</v>
      </c>
      <c r="D29" s="30">
        <f t="shared" si="0"/>
        <v>118215.59</v>
      </c>
    </row>
    <row r="30" spans="1:4" hidden="1">
      <c r="A30" s="29" t="s">
        <v>12</v>
      </c>
      <c r="B30" s="22">
        <v>2274</v>
      </c>
      <c r="C30" s="30"/>
      <c r="D30" s="30">
        <f t="shared" si="0"/>
        <v>0</v>
      </c>
    </row>
    <row r="31" spans="1:4">
      <c r="A31" s="29" t="s">
        <v>8</v>
      </c>
      <c r="B31" s="22">
        <v>2275</v>
      </c>
      <c r="C31" s="31">
        <f>4220.37+1607.93</f>
        <v>5828.3</v>
      </c>
      <c r="D31" s="31">
        <f t="shared" si="0"/>
        <v>5828.3</v>
      </c>
    </row>
    <row r="32" spans="1:4" s="8" customFormat="1">
      <c r="A32" s="25" t="s">
        <v>13</v>
      </c>
      <c r="B32" s="23">
        <v>2700</v>
      </c>
      <c r="C32" s="30">
        <f>C33</f>
        <v>0</v>
      </c>
      <c r="D32" s="30">
        <f t="shared" si="0"/>
        <v>0</v>
      </c>
    </row>
    <row r="33" spans="1:4">
      <c r="A33" s="29" t="s">
        <v>32</v>
      </c>
      <c r="B33" s="22">
        <v>2730</v>
      </c>
      <c r="C33" s="30"/>
      <c r="D33" s="30">
        <f t="shared" si="0"/>
        <v>0</v>
      </c>
    </row>
    <row r="34" spans="1:4" s="6" customFormat="1">
      <c r="A34" s="23" t="s">
        <v>14</v>
      </c>
      <c r="B34" s="23">
        <v>3000</v>
      </c>
      <c r="C34" s="30">
        <f>C35</f>
        <v>0</v>
      </c>
      <c r="D34" s="30">
        <f t="shared" si="0"/>
        <v>0</v>
      </c>
    </row>
    <row r="35" spans="1:4" ht="24">
      <c r="A35" s="29" t="s">
        <v>38</v>
      </c>
      <c r="B35" s="22">
        <v>3110</v>
      </c>
      <c r="C35" s="30"/>
      <c r="D35" s="30">
        <f t="shared" si="0"/>
        <v>0</v>
      </c>
    </row>
    <row r="36" spans="1:4" ht="18">
      <c r="A36" s="4"/>
      <c r="C36" s="14"/>
      <c r="D36" s="14"/>
    </row>
    <row r="37" spans="1:4" ht="15" customHeight="1">
      <c r="C37" s="14"/>
      <c r="D37" s="14"/>
    </row>
    <row r="43" spans="1:4" s="5" customFormat="1"/>
    <row r="44" spans="1:4" s="5" customFormat="1"/>
    <row r="45" spans="1:4" s="5" customFormat="1"/>
    <row r="81" s="5" customFormat="1"/>
    <row r="82" s="5" customFormat="1"/>
    <row r="83" s="5" customFormat="1"/>
    <row r="119" s="5" customFormat="1"/>
    <row r="120" s="5" customFormat="1"/>
    <row r="121" s="5" customFormat="1"/>
    <row r="157" s="5" customFormat="1"/>
    <row r="158" s="5" customFormat="1"/>
    <row r="159" s="5" customFormat="1"/>
    <row r="195" s="5" customFormat="1"/>
    <row r="196" s="5" customFormat="1"/>
    <row r="197" s="5" customFormat="1"/>
    <row r="233" s="5" customFormat="1"/>
    <row r="234" s="5" customFormat="1"/>
    <row r="235" s="5" customFormat="1"/>
    <row r="271" s="5" customFormat="1"/>
    <row r="272" s="5" customFormat="1"/>
    <row r="273" s="5" customFormat="1"/>
    <row r="309" s="5" customFormat="1"/>
    <row r="310" s="5" customFormat="1"/>
    <row r="311" s="5" customFormat="1"/>
    <row r="347" s="5" customFormat="1"/>
    <row r="348" s="5" customFormat="1"/>
    <row r="349" s="5" customFormat="1"/>
    <row r="385" s="5" customFormat="1"/>
    <row r="386" s="5" customFormat="1"/>
    <row r="387" s="5" customFormat="1"/>
    <row r="423" s="5" customFormat="1"/>
    <row r="424" s="5" customFormat="1"/>
    <row r="425" s="5" customFormat="1"/>
  </sheetData>
  <mergeCells count="5">
    <mergeCell ref="A1:D1"/>
    <mergeCell ref="A2:D2"/>
    <mergeCell ref="A3:D3"/>
    <mergeCell ref="B5:D5"/>
    <mergeCell ref="A12:D12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425"/>
  <sheetViews>
    <sheetView view="pageBreakPreview" zoomScaleNormal="70" zoomScaleSheetLayoutView="100" workbookViewId="0">
      <selection activeCell="E1" sqref="E1:G1048576"/>
    </sheetView>
  </sheetViews>
  <sheetFormatPr defaultColWidth="14.42578125" defaultRowHeight="15" customHeight="1"/>
  <cols>
    <col min="1" max="1" width="57.85546875" style="11" customWidth="1"/>
    <col min="2" max="2" width="10.85546875" style="11" customWidth="1"/>
    <col min="3" max="4" width="17.42578125" style="11" customWidth="1"/>
    <col min="5" max="16384" width="14.42578125" style="11"/>
  </cols>
  <sheetData>
    <row r="1" spans="1:4">
      <c r="A1" s="42" t="s">
        <v>0</v>
      </c>
      <c r="B1" s="43"/>
      <c r="C1" s="43"/>
      <c r="D1" s="43"/>
    </row>
    <row r="2" spans="1:4">
      <c r="A2" s="41" t="s">
        <v>35</v>
      </c>
      <c r="B2" s="40"/>
      <c r="C2" s="40"/>
      <c r="D2" s="40"/>
    </row>
    <row r="3" spans="1:4">
      <c r="A3" s="41" t="s">
        <v>60</v>
      </c>
      <c r="B3" s="40"/>
      <c r="C3" s="40"/>
      <c r="D3" s="40"/>
    </row>
    <row r="4" spans="1:4">
      <c r="A4" s="1"/>
      <c r="B4" s="1"/>
      <c r="C4" s="2"/>
    </row>
    <row r="5" spans="1:4" ht="45" customHeight="1">
      <c r="A5" s="13" t="s">
        <v>23</v>
      </c>
      <c r="B5" s="44" t="s">
        <v>52</v>
      </c>
      <c r="C5" s="44"/>
      <c r="D5" s="44"/>
    </row>
    <row r="6" spans="1:4">
      <c r="A6" s="13" t="s">
        <v>24</v>
      </c>
      <c r="B6" s="12" t="s">
        <v>25</v>
      </c>
    </row>
    <row r="7" spans="1:4">
      <c r="A7" s="13" t="s">
        <v>26</v>
      </c>
      <c r="B7" s="12" t="s">
        <v>27</v>
      </c>
    </row>
    <row r="8" spans="1:4" ht="25.5">
      <c r="A8" s="1" t="s">
        <v>28</v>
      </c>
      <c r="B8" s="12" t="s">
        <v>29</v>
      </c>
    </row>
    <row r="9" spans="1:4" ht="38.25">
      <c r="A9" s="1" t="s">
        <v>30</v>
      </c>
      <c r="B9" s="12" t="s">
        <v>20</v>
      </c>
    </row>
    <row r="10" spans="1:4">
      <c r="A10" s="3" t="s">
        <v>21</v>
      </c>
    </row>
    <row r="11" spans="1:4">
      <c r="A11" s="3" t="s">
        <v>1</v>
      </c>
    </row>
    <row r="12" spans="1:4" ht="15.75">
      <c r="A12" s="45"/>
      <c r="B12" s="43"/>
      <c r="C12" s="43"/>
      <c r="D12" s="43"/>
    </row>
    <row r="13" spans="1:4" ht="36">
      <c r="A13" s="22" t="s">
        <v>2</v>
      </c>
      <c r="B13" s="22" t="s">
        <v>22</v>
      </c>
      <c r="C13" s="22" t="s">
        <v>33</v>
      </c>
      <c r="D13" s="22" t="s">
        <v>34</v>
      </c>
    </row>
    <row r="14" spans="1:4">
      <c r="A14" s="23">
        <v>1</v>
      </c>
      <c r="B14" s="23">
        <v>2</v>
      </c>
      <c r="C14" s="23">
        <v>3</v>
      </c>
      <c r="D14" s="23">
        <v>4</v>
      </c>
    </row>
    <row r="15" spans="1:4" s="7" customFormat="1">
      <c r="A15" s="23" t="s">
        <v>3</v>
      </c>
      <c r="B15" s="23" t="s">
        <v>4</v>
      </c>
      <c r="C15" s="24">
        <f>C16+C34</f>
        <v>708826.3600000001</v>
      </c>
      <c r="D15" s="24">
        <f>C15</f>
        <v>708826.3600000001</v>
      </c>
    </row>
    <row r="16" spans="1:4" s="6" customFormat="1" ht="24">
      <c r="A16" s="22" t="s">
        <v>18</v>
      </c>
      <c r="B16" s="23">
        <v>2000</v>
      </c>
      <c r="C16" s="24">
        <f>C17+C32</f>
        <v>708826.3600000001</v>
      </c>
      <c r="D16" s="24">
        <f t="shared" ref="D16:D35" si="0">C16</f>
        <v>708826.3600000001</v>
      </c>
    </row>
    <row r="17" spans="1:4" s="8" customFormat="1">
      <c r="A17" s="25" t="s">
        <v>5</v>
      </c>
      <c r="B17" s="23">
        <v>2200</v>
      </c>
      <c r="C17" s="24">
        <f>C18+C20+C21+C22+C26+C23+C25+C19+C24</f>
        <v>708826.3600000001</v>
      </c>
      <c r="D17" s="24">
        <f t="shared" si="0"/>
        <v>708826.3600000001</v>
      </c>
    </row>
    <row r="18" spans="1:4" s="9" customFormat="1">
      <c r="A18" s="26" t="s">
        <v>6</v>
      </c>
      <c r="B18" s="37">
        <v>2210</v>
      </c>
      <c r="C18" s="28">
        <f>3900+3865+1149.5+2784.43</f>
        <v>11698.93</v>
      </c>
      <c r="D18" s="28">
        <f t="shared" si="0"/>
        <v>11698.93</v>
      </c>
    </row>
    <row r="19" spans="1:4" s="9" customFormat="1" ht="24">
      <c r="A19" s="25" t="s">
        <v>61</v>
      </c>
      <c r="B19" s="23">
        <v>2210</v>
      </c>
      <c r="C19" s="36">
        <f>3950+14800+7320</f>
        <v>26070</v>
      </c>
      <c r="D19" s="36">
        <f t="shared" si="0"/>
        <v>26070</v>
      </c>
    </row>
    <row r="20" spans="1:4" s="9" customFormat="1">
      <c r="A20" s="26" t="s">
        <v>36</v>
      </c>
      <c r="B20" s="37">
        <v>2210</v>
      </c>
      <c r="C20" s="36">
        <f>31990.16</f>
        <v>31990.16</v>
      </c>
      <c r="D20" s="36">
        <f t="shared" si="0"/>
        <v>31990.16</v>
      </c>
    </row>
    <row r="21" spans="1:4" s="9" customFormat="1">
      <c r="A21" s="25" t="s">
        <v>7</v>
      </c>
      <c r="B21" s="23">
        <v>2240</v>
      </c>
      <c r="C21" s="24">
        <f>350+8100+3132+1372.8+1997.48+6000+2074.89</f>
        <v>23027.17</v>
      </c>
      <c r="D21" s="28">
        <f t="shared" si="0"/>
        <v>23027.17</v>
      </c>
    </row>
    <row r="22" spans="1:4" s="9" customFormat="1">
      <c r="A22" s="25" t="s">
        <v>37</v>
      </c>
      <c r="B22" s="23">
        <v>2240</v>
      </c>
      <c r="C22" s="24"/>
      <c r="D22" s="28">
        <f t="shared" si="0"/>
        <v>0</v>
      </c>
    </row>
    <row r="23" spans="1:4" s="9" customFormat="1">
      <c r="A23" s="25" t="s">
        <v>19</v>
      </c>
      <c r="B23" s="23">
        <v>2240</v>
      </c>
      <c r="C23" s="24"/>
      <c r="D23" s="28">
        <f t="shared" si="0"/>
        <v>0</v>
      </c>
    </row>
    <row r="24" spans="1:4" s="9" customFormat="1" ht="24">
      <c r="A24" s="25" t="s">
        <v>61</v>
      </c>
      <c r="B24" s="23">
        <v>2240</v>
      </c>
      <c r="C24" s="24">
        <f>5097</f>
        <v>5097</v>
      </c>
      <c r="D24" s="24">
        <f t="shared" si="0"/>
        <v>5097</v>
      </c>
    </row>
    <row r="25" spans="1:4" s="9" customFormat="1">
      <c r="A25" s="25" t="s">
        <v>39</v>
      </c>
      <c r="B25" s="23">
        <v>2240</v>
      </c>
      <c r="C25" s="24">
        <f>2619.52+552.5</f>
        <v>3172.02</v>
      </c>
      <c r="D25" s="28">
        <f t="shared" si="0"/>
        <v>3172.02</v>
      </c>
    </row>
    <row r="26" spans="1:4" s="9" customFormat="1">
      <c r="A26" s="25" t="s">
        <v>15</v>
      </c>
      <c r="B26" s="23">
        <v>2270</v>
      </c>
      <c r="C26" s="24">
        <f>SUM(C27:C31)</f>
        <v>607771.08000000007</v>
      </c>
      <c r="D26" s="28">
        <f t="shared" si="0"/>
        <v>607771.08000000007</v>
      </c>
    </row>
    <row r="27" spans="1:4">
      <c r="A27" s="29" t="s">
        <v>9</v>
      </c>
      <c r="B27" s="22">
        <v>2271</v>
      </c>
      <c r="C27" s="30">
        <f>392591.79+82956.44</f>
        <v>475548.23</v>
      </c>
      <c r="D27" s="30">
        <f t="shared" si="0"/>
        <v>475548.23</v>
      </c>
    </row>
    <row r="28" spans="1:4">
      <c r="A28" s="29" t="s">
        <v>10</v>
      </c>
      <c r="B28" s="22">
        <v>2272</v>
      </c>
      <c r="C28" s="30">
        <f>14910.82+3971.52</f>
        <v>18882.34</v>
      </c>
      <c r="D28" s="30">
        <f t="shared" si="0"/>
        <v>18882.34</v>
      </c>
    </row>
    <row r="29" spans="1:4">
      <c r="A29" s="29" t="s">
        <v>11</v>
      </c>
      <c r="B29" s="22">
        <v>2273</v>
      </c>
      <c r="C29" s="30">
        <f>90264.88+15220.86</f>
        <v>105485.74</v>
      </c>
      <c r="D29" s="30">
        <f t="shared" si="0"/>
        <v>105485.74</v>
      </c>
    </row>
    <row r="30" spans="1:4" hidden="1">
      <c r="A30" s="29" t="s">
        <v>12</v>
      </c>
      <c r="B30" s="22">
        <v>2274</v>
      </c>
      <c r="C30" s="30">
        <v>0</v>
      </c>
      <c r="D30" s="30">
        <f t="shared" si="0"/>
        <v>0</v>
      </c>
    </row>
    <row r="31" spans="1:4">
      <c r="A31" s="29" t="s">
        <v>8</v>
      </c>
      <c r="B31" s="22">
        <v>2275</v>
      </c>
      <c r="C31" s="31">
        <f>5767.84+2086.93</f>
        <v>7854.77</v>
      </c>
      <c r="D31" s="31">
        <f t="shared" si="0"/>
        <v>7854.77</v>
      </c>
    </row>
    <row r="32" spans="1:4" s="8" customFormat="1">
      <c r="A32" s="25" t="s">
        <v>13</v>
      </c>
      <c r="B32" s="23">
        <v>2700</v>
      </c>
      <c r="C32" s="30">
        <f>C33</f>
        <v>0</v>
      </c>
      <c r="D32" s="30">
        <f t="shared" si="0"/>
        <v>0</v>
      </c>
    </row>
    <row r="33" spans="1:4">
      <c r="A33" s="29" t="s">
        <v>32</v>
      </c>
      <c r="B33" s="22">
        <v>2730</v>
      </c>
      <c r="C33" s="30">
        <v>0</v>
      </c>
      <c r="D33" s="30">
        <f t="shared" si="0"/>
        <v>0</v>
      </c>
    </row>
    <row r="34" spans="1:4" s="6" customFormat="1">
      <c r="A34" s="23" t="s">
        <v>14</v>
      </c>
      <c r="B34" s="23">
        <v>3000</v>
      </c>
      <c r="C34" s="30">
        <f>C35</f>
        <v>0</v>
      </c>
      <c r="D34" s="30">
        <f t="shared" si="0"/>
        <v>0</v>
      </c>
    </row>
    <row r="35" spans="1:4">
      <c r="A35" s="29" t="s">
        <v>16</v>
      </c>
      <c r="B35" s="22">
        <v>3110</v>
      </c>
      <c r="C35" s="30">
        <v>0</v>
      </c>
      <c r="D35" s="30">
        <f t="shared" si="0"/>
        <v>0</v>
      </c>
    </row>
    <row r="36" spans="1:4" ht="18">
      <c r="A36" s="4"/>
      <c r="C36" s="14"/>
      <c r="D36" s="14"/>
    </row>
    <row r="37" spans="1:4" ht="15" customHeight="1">
      <c r="C37" s="14"/>
      <c r="D37" s="14"/>
    </row>
    <row r="43" spans="1:4" s="5" customFormat="1"/>
    <row r="44" spans="1:4" s="5" customFormat="1"/>
    <row r="45" spans="1:4" s="5" customFormat="1"/>
    <row r="81" s="5" customFormat="1"/>
    <row r="82" s="5" customFormat="1"/>
    <row r="83" s="5" customFormat="1"/>
    <row r="119" s="5" customFormat="1"/>
    <row r="120" s="5" customFormat="1"/>
    <row r="121" s="5" customFormat="1"/>
    <row r="157" s="5" customFormat="1"/>
    <row r="158" s="5" customFormat="1"/>
    <row r="159" s="5" customFormat="1"/>
    <row r="195" s="5" customFormat="1"/>
    <row r="196" s="5" customFormat="1"/>
    <row r="197" s="5" customFormat="1"/>
    <row r="233" s="5" customFormat="1"/>
    <row r="234" s="5" customFormat="1"/>
    <row r="235" s="5" customFormat="1"/>
    <row r="271" s="5" customFormat="1"/>
    <row r="272" s="5" customFormat="1"/>
    <row r="273" s="5" customFormat="1"/>
    <row r="309" s="5" customFormat="1"/>
    <row r="310" s="5" customFormat="1"/>
    <row r="311" s="5" customFormat="1"/>
    <row r="347" s="5" customFormat="1"/>
    <row r="348" s="5" customFormat="1"/>
    <row r="349" s="5" customFormat="1"/>
    <row r="385" s="5" customFormat="1"/>
    <row r="386" s="5" customFormat="1"/>
    <row r="387" s="5" customFormat="1"/>
    <row r="423" s="5" customFormat="1"/>
    <row r="424" s="5" customFormat="1"/>
    <row r="425" s="5" customFormat="1"/>
  </sheetData>
  <mergeCells count="5">
    <mergeCell ref="A1:D1"/>
    <mergeCell ref="A2:D2"/>
    <mergeCell ref="A3:D3"/>
    <mergeCell ref="B5:D5"/>
    <mergeCell ref="A12:D12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426"/>
  <sheetViews>
    <sheetView view="pageBreakPreview" zoomScaleNormal="80" zoomScaleSheetLayoutView="100" workbookViewId="0">
      <selection activeCell="E13" sqref="E1:G1048576"/>
    </sheetView>
  </sheetViews>
  <sheetFormatPr defaultColWidth="14.42578125" defaultRowHeight="15" customHeight="1"/>
  <cols>
    <col min="1" max="1" width="57.85546875" style="11" customWidth="1"/>
    <col min="2" max="2" width="10.85546875" style="11" customWidth="1"/>
    <col min="3" max="4" width="17.42578125" style="11" customWidth="1"/>
    <col min="5" max="16384" width="14.42578125" style="11"/>
  </cols>
  <sheetData>
    <row r="1" spans="1:4">
      <c r="A1" s="42" t="s">
        <v>0</v>
      </c>
      <c r="B1" s="43"/>
      <c r="C1" s="43"/>
      <c r="D1" s="43"/>
    </row>
    <row r="2" spans="1:4">
      <c r="A2" s="41" t="s">
        <v>35</v>
      </c>
      <c r="B2" s="40"/>
      <c r="C2" s="40"/>
      <c r="D2" s="40"/>
    </row>
    <row r="3" spans="1:4">
      <c r="A3" s="41" t="s">
        <v>60</v>
      </c>
      <c r="B3" s="40"/>
      <c r="C3" s="40"/>
      <c r="D3" s="40"/>
    </row>
    <row r="4" spans="1:4">
      <c r="A4" s="1"/>
      <c r="B4" s="1"/>
      <c r="C4" s="2"/>
    </row>
    <row r="5" spans="1:4" ht="45" customHeight="1">
      <c r="A5" s="13" t="s">
        <v>23</v>
      </c>
      <c r="B5" s="44" t="s">
        <v>53</v>
      </c>
      <c r="C5" s="44"/>
      <c r="D5" s="44"/>
    </row>
    <row r="6" spans="1:4">
      <c r="A6" s="13" t="s">
        <v>24</v>
      </c>
      <c r="B6" s="12" t="s">
        <v>25</v>
      </c>
    </row>
    <row r="7" spans="1:4">
      <c r="A7" s="13" t="s">
        <v>26</v>
      </c>
      <c r="B7" s="12" t="s">
        <v>27</v>
      </c>
    </row>
    <row r="8" spans="1:4" ht="25.5">
      <c r="A8" s="1" t="s">
        <v>28</v>
      </c>
      <c r="B8" s="12" t="s">
        <v>29</v>
      </c>
    </row>
    <row r="9" spans="1:4" ht="38.25">
      <c r="A9" s="1" t="s">
        <v>30</v>
      </c>
      <c r="B9" s="12" t="s">
        <v>20</v>
      </c>
    </row>
    <row r="10" spans="1:4">
      <c r="A10" s="3" t="s">
        <v>21</v>
      </c>
    </row>
    <row r="11" spans="1:4">
      <c r="A11" s="3" t="s">
        <v>1</v>
      </c>
    </row>
    <row r="12" spans="1:4" ht="15.75">
      <c r="A12" s="45"/>
      <c r="B12" s="43"/>
      <c r="C12" s="43"/>
      <c r="D12" s="43"/>
    </row>
    <row r="13" spans="1:4" ht="36">
      <c r="A13" s="22" t="s">
        <v>2</v>
      </c>
      <c r="B13" s="22" t="s">
        <v>22</v>
      </c>
      <c r="C13" s="22" t="s">
        <v>33</v>
      </c>
      <c r="D13" s="22" t="s">
        <v>34</v>
      </c>
    </row>
    <row r="14" spans="1:4">
      <c r="A14" s="23">
        <v>1</v>
      </c>
      <c r="B14" s="23">
        <v>2</v>
      </c>
      <c r="C14" s="23">
        <v>3</v>
      </c>
      <c r="D14" s="23">
        <v>4</v>
      </c>
    </row>
    <row r="15" spans="1:4" s="7" customFormat="1">
      <c r="A15" s="23" t="s">
        <v>3</v>
      </c>
      <c r="B15" s="23" t="s">
        <v>4</v>
      </c>
      <c r="C15" s="24">
        <f>C16+C34</f>
        <v>1406823.77</v>
      </c>
      <c r="D15" s="24">
        <f>C15</f>
        <v>1406823.77</v>
      </c>
    </row>
    <row r="16" spans="1:4" s="6" customFormat="1" ht="24">
      <c r="A16" s="22" t="s">
        <v>18</v>
      </c>
      <c r="B16" s="23">
        <v>2000</v>
      </c>
      <c r="C16" s="24">
        <f>C17+C32</f>
        <v>1406823.77</v>
      </c>
      <c r="D16" s="24">
        <f t="shared" ref="D16:D36" si="0">C16</f>
        <v>1406823.77</v>
      </c>
    </row>
    <row r="17" spans="1:4" s="8" customFormat="1">
      <c r="A17" s="25" t="s">
        <v>5</v>
      </c>
      <c r="B17" s="23">
        <v>2200</v>
      </c>
      <c r="C17" s="24">
        <f>C18+C20+C21+C22+C26+C23+C25+C19+C24</f>
        <v>1406823.77</v>
      </c>
      <c r="D17" s="24">
        <f t="shared" si="0"/>
        <v>1406823.77</v>
      </c>
    </row>
    <row r="18" spans="1:4" s="9" customFormat="1">
      <c r="A18" s="26" t="s">
        <v>6</v>
      </c>
      <c r="B18" s="37">
        <v>2210</v>
      </c>
      <c r="C18" s="28">
        <f>6630+6495+1149.5+2784.43</f>
        <v>17058.93</v>
      </c>
      <c r="D18" s="28">
        <f t="shared" si="0"/>
        <v>17058.93</v>
      </c>
    </row>
    <row r="19" spans="1:4" s="9" customFormat="1" ht="24">
      <c r="A19" s="25" t="s">
        <v>61</v>
      </c>
      <c r="B19" s="23">
        <v>2210</v>
      </c>
      <c r="C19" s="36">
        <f>3950*2+14800+7320</f>
        <v>30020</v>
      </c>
      <c r="D19" s="36">
        <f t="shared" si="0"/>
        <v>30020</v>
      </c>
    </row>
    <row r="20" spans="1:4" s="9" customFormat="1">
      <c r="A20" s="26" t="s">
        <v>36</v>
      </c>
      <c r="B20" s="27">
        <v>2210</v>
      </c>
      <c r="C20" s="28"/>
      <c r="D20" s="28">
        <f t="shared" si="0"/>
        <v>0</v>
      </c>
    </row>
    <row r="21" spans="1:4" s="9" customFormat="1">
      <c r="A21" s="25" t="s">
        <v>7</v>
      </c>
      <c r="B21" s="23">
        <v>2240</v>
      </c>
      <c r="C21" s="24">
        <f>450+4410+686.4+4247.48+2074.89</f>
        <v>11868.769999999999</v>
      </c>
      <c r="D21" s="28">
        <f t="shared" si="0"/>
        <v>11868.769999999999</v>
      </c>
    </row>
    <row r="22" spans="1:4" s="9" customFormat="1">
      <c r="A22" s="25" t="s">
        <v>37</v>
      </c>
      <c r="B22" s="23">
        <v>2240</v>
      </c>
      <c r="C22" s="24"/>
      <c r="D22" s="28">
        <f t="shared" si="0"/>
        <v>0</v>
      </c>
    </row>
    <row r="23" spans="1:4" s="9" customFormat="1">
      <c r="A23" s="25" t="s">
        <v>19</v>
      </c>
      <c r="B23" s="23">
        <v>2240</v>
      </c>
      <c r="C23" s="24"/>
      <c r="D23" s="28">
        <f t="shared" si="0"/>
        <v>0</v>
      </c>
    </row>
    <row r="24" spans="1:4" s="9" customFormat="1" ht="24">
      <c r="A24" s="25" t="s">
        <v>61</v>
      </c>
      <c r="B24" s="23">
        <v>2240</v>
      </c>
      <c r="C24" s="24"/>
      <c r="D24" s="24">
        <f t="shared" si="0"/>
        <v>0</v>
      </c>
    </row>
    <row r="25" spans="1:4" s="9" customFormat="1">
      <c r="A25" s="25" t="s">
        <v>39</v>
      </c>
      <c r="B25" s="23">
        <v>2240</v>
      </c>
      <c r="C25" s="24">
        <f>3902.42+195</f>
        <v>4097.42</v>
      </c>
      <c r="D25" s="28">
        <f t="shared" si="0"/>
        <v>4097.42</v>
      </c>
    </row>
    <row r="26" spans="1:4" s="9" customFormat="1">
      <c r="A26" s="25" t="s">
        <v>15</v>
      </c>
      <c r="B26" s="23">
        <v>2270</v>
      </c>
      <c r="C26" s="24">
        <f>SUM(C27:C31)</f>
        <v>1343778.6500000001</v>
      </c>
      <c r="D26" s="28">
        <f t="shared" si="0"/>
        <v>1343778.6500000001</v>
      </c>
    </row>
    <row r="27" spans="1:4">
      <c r="A27" s="29" t="s">
        <v>9</v>
      </c>
      <c r="B27" s="22">
        <v>2271</v>
      </c>
      <c r="C27" s="30">
        <f>683348.21+401522.47</f>
        <v>1084870.68</v>
      </c>
      <c r="D27" s="30">
        <f t="shared" si="0"/>
        <v>1084870.68</v>
      </c>
    </row>
    <row r="28" spans="1:4">
      <c r="A28" s="29" t="s">
        <v>10</v>
      </c>
      <c r="B28" s="22">
        <v>2272</v>
      </c>
      <c r="C28" s="30">
        <f>25468.9+2797.87</f>
        <v>28266.77</v>
      </c>
      <c r="D28" s="30">
        <f t="shared" si="0"/>
        <v>28266.77</v>
      </c>
    </row>
    <row r="29" spans="1:4">
      <c r="A29" s="29" t="s">
        <v>11</v>
      </c>
      <c r="B29" s="22">
        <v>2273</v>
      </c>
      <c r="C29" s="30">
        <f>188751.03+33700.56</f>
        <v>222451.59</v>
      </c>
      <c r="D29" s="30">
        <f t="shared" si="0"/>
        <v>222451.59</v>
      </c>
    </row>
    <row r="30" spans="1:4" hidden="1">
      <c r="A30" s="29" t="s">
        <v>12</v>
      </c>
      <c r="B30" s="22">
        <v>2274</v>
      </c>
      <c r="C30" s="30">
        <v>0</v>
      </c>
      <c r="D30" s="30">
        <f t="shared" si="0"/>
        <v>0</v>
      </c>
    </row>
    <row r="31" spans="1:4">
      <c r="A31" s="29" t="s">
        <v>8</v>
      </c>
      <c r="B31" s="22">
        <v>2275</v>
      </c>
      <c r="C31" s="31">
        <f>6893.27+1296.34</f>
        <v>8189.6100000000006</v>
      </c>
      <c r="D31" s="31">
        <f t="shared" si="0"/>
        <v>8189.6100000000006</v>
      </c>
    </row>
    <row r="32" spans="1:4" s="8" customFormat="1">
      <c r="A32" s="25" t="s">
        <v>13</v>
      </c>
      <c r="B32" s="23">
        <v>2700</v>
      </c>
      <c r="C32" s="30">
        <f>C33</f>
        <v>0</v>
      </c>
      <c r="D32" s="30">
        <f t="shared" si="0"/>
        <v>0</v>
      </c>
    </row>
    <row r="33" spans="1:4">
      <c r="A33" s="29" t="s">
        <v>32</v>
      </c>
      <c r="B33" s="22">
        <v>2730</v>
      </c>
      <c r="C33" s="30"/>
      <c r="D33" s="30">
        <f t="shared" si="0"/>
        <v>0</v>
      </c>
    </row>
    <row r="34" spans="1:4" s="6" customFormat="1">
      <c r="A34" s="23" t="s">
        <v>14</v>
      </c>
      <c r="B34" s="23">
        <v>3000</v>
      </c>
      <c r="C34" s="30">
        <f>C36</f>
        <v>0</v>
      </c>
      <c r="D34" s="30">
        <f t="shared" si="0"/>
        <v>0</v>
      </c>
    </row>
    <row r="35" spans="1:4" ht="24">
      <c r="A35" s="29" t="s">
        <v>38</v>
      </c>
      <c r="B35" s="22">
        <v>3110</v>
      </c>
      <c r="C35" s="30"/>
      <c r="D35" s="30">
        <f t="shared" si="0"/>
        <v>0</v>
      </c>
    </row>
    <row r="36" spans="1:4">
      <c r="A36" s="29" t="s">
        <v>17</v>
      </c>
      <c r="B36" s="22">
        <v>3130</v>
      </c>
      <c r="C36" s="30"/>
      <c r="D36" s="30">
        <f t="shared" si="0"/>
        <v>0</v>
      </c>
    </row>
    <row r="37" spans="1:4" ht="18">
      <c r="A37" s="4"/>
      <c r="C37" s="14"/>
      <c r="D37" s="14"/>
    </row>
    <row r="44" spans="1:4" s="5" customFormat="1"/>
    <row r="45" spans="1:4" s="5" customFormat="1"/>
    <row r="46" spans="1:4" s="5" customFormat="1"/>
    <row r="82" s="5" customFormat="1"/>
    <row r="83" s="5" customFormat="1"/>
    <row r="84" s="5" customFormat="1"/>
    <row r="120" s="5" customFormat="1"/>
    <row r="121" s="5" customFormat="1"/>
    <row r="122" s="5" customFormat="1"/>
    <row r="158" s="5" customFormat="1"/>
    <row r="159" s="5" customFormat="1"/>
    <row r="160" s="5" customFormat="1"/>
    <row r="196" s="5" customFormat="1"/>
    <row r="197" s="5" customFormat="1"/>
    <row r="198" s="5" customFormat="1"/>
    <row r="234" s="5" customFormat="1"/>
    <row r="235" s="5" customFormat="1"/>
    <row r="236" s="5" customFormat="1"/>
    <row r="272" s="5" customFormat="1"/>
    <row r="273" s="5" customFormat="1"/>
    <row r="274" s="5" customFormat="1"/>
    <row r="310" s="5" customFormat="1"/>
    <row r="311" s="5" customFormat="1"/>
    <row r="312" s="5" customFormat="1"/>
    <row r="348" s="5" customFormat="1"/>
    <row r="349" s="5" customFormat="1"/>
    <row r="350" s="5" customFormat="1"/>
    <row r="386" s="5" customFormat="1"/>
    <row r="387" s="5" customFormat="1"/>
    <row r="388" s="5" customFormat="1"/>
    <row r="424" s="5" customFormat="1"/>
    <row r="425" s="5" customFormat="1"/>
    <row r="426" s="5" customFormat="1"/>
  </sheetData>
  <mergeCells count="5">
    <mergeCell ref="A1:D1"/>
    <mergeCell ref="A2:D2"/>
    <mergeCell ref="A3:D3"/>
    <mergeCell ref="B5:D5"/>
    <mergeCell ref="A12:D12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425"/>
  <sheetViews>
    <sheetView view="pageBreakPreview" zoomScaleNormal="70" zoomScaleSheetLayoutView="100" workbookViewId="0">
      <selection activeCell="E1" sqref="E1:G1048576"/>
    </sheetView>
  </sheetViews>
  <sheetFormatPr defaultColWidth="14.42578125" defaultRowHeight="15" customHeight="1"/>
  <cols>
    <col min="1" max="1" width="57.85546875" style="11" customWidth="1"/>
    <col min="2" max="2" width="10.85546875" style="11" customWidth="1"/>
    <col min="3" max="4" width="17.42578125" style="11" customWidth="1"/>
    <col min="5" max="16384" width="14.42578125" style="11"/>
  </cols>
  <sheetData>
    <row r="1" spans="1:4">
      <c r="A1" s="42" t="s">
        <v>0</v>
      </c>
      <c r="B1" s="43"/>
      <c r="C1" s="43"/>
      <c r="D1" s="43"/>
    </row>
    <row r="2" spans="1:4">
      <c r="A2" s="41" t="s">
        <v>35</v>
      </c>
      <c r="B2" s="40"/>
      <c r="C2" s="40"/>
      <c r="D2" s="40"/>
    </row>
    <row r="3" spans="1:4">
      <c r="A3" s="41" t="s">
        <v>60</v>
      </c>
      <c r="B3" s="40"/>
      <c r="C3" s="40"/>
      <c r="D3" s="40"/>
    </row>
    <row r="4" spans="1:4">
      <c r="A4" s="1"/>
      <c r="B4" s="1"/>
      <c r="C4" s="2"/>
    </row>
    <row r="5" spans="1:4" ht="67.5" customHeight="1">
      <c r="A5" s="13" t="s">
        <v>23</v>
      </c>
      <c r="B5" s="44" t="s">
        <v>54</v>
      </c>
      <c r="C5" s="44"/>
      <c r="D5" s="44"/>
    </row>
    <row r="6" spans="1:4">
      <c r="A6" s="13" t="s">
        <v>24</v>
      </c>
      <c r="B6" s="12" t="s">
        <v>25</v>
      </c>
    </row>
    <row r="7" spans="1:4">
      <c r="A7" s="13" t="s">
        <v>26</v>
      </c>
      <c r="B7" s="12" t="s">
        <v>27</v>
      </c>
    </row>
    <row r="8" spans="1:4" ht="25.5">
      <c r="A8" s="1" t="s">
        <v>28</v>
      </c>
      <c r="B8" s="12" t="s">
        <v>29</v>
      </c>
    </row>
    <row r="9" spans="1:4" ht="38.25">
      <c r="A9" s="1" t="s">
        <v>30</v>
      </c>
      <c r="B9" s="12" t="s">
        <v>20</v>
      </c>
    </row>
    <row r="10" spans="1:4">
      <c r="A10" s="3" t="s">
        <v>21</v>
      </c>
    </row>
    <row r="11" spans="1:4">
      <c r="A11" s="3" t="s">
        <v>1</v>
      </c>
    </row>
    <row r="12" spans="1:4" ht="15.75">
      <c r="A12" s="45"/>
      <c r="B12" s="43"/>
      <c r="C12" s="43"/>
      <c r="D12" s="43"/>
    </row>
    <row r="13" spans="1:4" ht="36">
      <c r="A13" s="22" t="s">
        <v>2</v>
      </c>
      <c r="B13" s="22" t="s">
        <v>22</v>
      </c>
      <c r="C13" s="22" t="s">
        <v>33</v>
      </c>
      <c r="D13" s="22" t="s">
        <v>34</v>
      </c>
    </row>
    <row r="14" spans="1:4">
      <c r="A14" s="23">
        <v>1</v>
      </c>
      <c r="B14" s="23">
        <v>2</v>
      </c>
      <c r="C14" s="23">
        <v>3</v>
      </c>
      <c r="D14" s="23">
        <v>4</v>
      </c>
    </row>
    <row r="15" spans="1:4" s="7" customFormat="1">
      <c r="A15" s="23" t="s">
        <v>3</v>
      </c>
      <c r="B15" s="23" t="s">
        <v>4</v>
      </c>
      <c r="C15" s="24">
        <f>C16+C34</f>
        <v>1001395.8600000001</v>
      </c>
      <c r="D15" s="24">
        <f>C15</f>
        <v>1001395.8600000001</v>
      </c>
    </row>
    <row r="16" spans="1:4" s="6" customFormat="1" ht="24">
      <c r="A16" s="22" t="s">
        <v>18</v>
      </c>
      <c r="B16" s="23">
        <v>2000</v>
      </c>
      <c r="C16" s="24">
        <f>C17+C32</f>
        <v>1001395.8600000001</v>
      </c>
      <c r="D16" s="24">
        <f t="shared" ref="D16:D35" si="0">C16</f>
        <v>1001395.8600000001</v>
      </c>
    </row>
    <row r="17" spans="1:4" s="8" customFormat="1">
      <c r="A17" s="25" t="s">
        <v>5</v>
      </c>
      <c r="B17" s="23">
        <v>2200</v>
      </c>
      <c r="C17" s="24">
        <f>C18+C20+C21+C22+C26+C23+C25+C19+C24</f>
        <v>1001395.8600000001</v>
      </c>
      <c r="D17" s="24">
        <f t="shared" si="0"/>
        <v>1001395.8600000001</v>
      </c>
    </row>
    <row r="18" spans="1:4" s="9" customFormat="1">
      <c r="A18" s="26" t="s">
        <v>6</v>
      </c>
      <c r="B18" s="37">
        <v>2210</v>
      </c>
      <c r="C18" s="36">
        <f>6240+6495+11759.87+1149.5+2784.43</f>
        <v>28428.800000000003</v>
      </c>
      <c r="D18" s="36">
        <f t="shared" si="0"/>
        <v>28428.800000000003</v>
      </c>
    </row>
    <row r="19" spans="1:4" s="9" customFormat="1" ht="24">
      <c r="A19" s="25" t="s">
        <v>61</v>
      </c>
      <c r="B19" s="23">
        <v>2210</v>
      </c>
      <c r="C19" s="36">
        <f>3950</f>
        <v>3950</v>
      </c>
      <c r="D19" s="36">
        <f t="shared" si="0"/>
        <v>3950</v>
      </c>
    </row>
    <row r="20" spans="1:4" s="9" customFormat="1">
      <c r="A20" s="26" t="s">
        <v>36</v>
      </c>
      <c r="B20" s="27">
        <v>2210</v>
      </c>
      <c r="C20" s="28"/>
      <c r="D20" s="28">
        <f t="shared" si="0"/>
        <v>0</v>
      </c>
    </row>
    <row r="21" spans="1:4" s="9" customFormat="1">
      <c r="A21" s="25" t="s">
        <v>7</v>
      </c>
      <c r="B21" s="23">
        <v>2240</v>
      </c>
      <c r="C21" s="24">
        <f>450+4455+686.4+2447.48+8415+2074.89</f>
        <v>18528.769999999997</v>
      </c>
      <c r="D21" s="28">
        <f t="shared" si="0"/>
        <v>18528.769999999997</v>
      </c>
    </row>
    <row r="22" spans="1:4" s="9" customFormat="1">
      <c r="A22" s="25" t="s">
        <v>37</v>
      </c>
      <c r="B22" s="23">
        <v>2240</v>
      </c>
      <c r="C22" s="24"/>
      <c r="D22" s="28">
        <f t="shared" si="0"/>
        <v>0</v>
      </c>
    </row>
    <row r="23" spans="1:4" s="9" customFormat="1">
      <c r="A23" s="25" t="s">
        <v>19</v>
      </c>
      <c r="B23" s="23">
        <v>2240</v>
      </c>
      <c r="C23" s="24"/>
      <c r="D23" s="28">
        <f t="shared" si="0"/>
        <v>0</v>
      </c>
    </row>
    <row r="24" spans="1:4" s="9" customFormat="1" ht="24">
      <c r="A24" s="25" t="s">
        <v>61</v>
      </c>
      <c r="B24" s="23">
        <v>2240</v>
      </c>
      <c r="C24" s="24">
        <f>11508</f>
        <v>11508</v>
      </c>
      <c r="D24" s="24">
        <f t="shared" si="0"/>
        <v>11508</v>
      </c>
    </row>
    <row r="25" spans="1:4" s="9" customFormat="1">
      <c r="A25" s="25" t="s">
        <v>39</v>
      </c>
      <c r="B25" s="23">
        <v>2240</v>
      </c>
      <c r="C25" s="24">
        <f>3046.68+1072.5</f>
        <v>4119.18</v>
      </c>
      <c r="D25" s="28">
        <f t="shared" si="0"/>
        <v>4119.18</v>
      </c>
    </row>
    <row r="26" spans="1:4" s="9" customFormat="1">
      <c r="A26" s="25" t="s">
        <v>15</v>
      </c>
      <c r="B26" s="23">
        <v>2270</v>
      </c>
      <c r="C26" s="24">
        <f>SUM(C27:C31)</f>
        <v>934861.1100000001</v>
      </c>
      <c r="D26" s="28">
        <f t="shared" si="0"/>
        <v>934861.1100000001</v>
      </c>
    </row>
    <row r="27" spans="1:4">
      <c r="A27" s="29" t="s">
        <v>9</v>
      </c>
      <c r="B27" s="22">
        <v>2271</v>
      </c>
      <c r="C27" s="30">
        <f>469285.17+281771.15</f>
        <v>751056.32000000007</v>
      </c>
      <c r="D27" s="30">
        <f t="shared" si="0"/>
        <v>751056.32000000007</v>
      </c>
    </row>
    <row r="28" spans="1:4">
      <c r="A28" s="29" t="s">
        <v>10</v>
      </c>
      <c r="B28" s="22">
        <v>2272</v>
      </c>
      <c r="C28" s="30">
        <f>26105.62+2354.54</f>
        <v>28460.16</v>
      </c>
      <c r="D28" s="30">
        <f t="shared" si="0"/>
        <v>28460.16</v>
      </c>
    </row>
    <row r="29" spans="1:4">
      <c r="A29" s="29" t="s">
        <v>11</v>
      </c>
      <c r="B29" s="22">
        <v>2273</v>
      </c>
      <c r="C29" s="30">
        <f>132399.64+13767.14</f>
        <v>146166.78000000003</v>
      </c>
      <c r="D29" s="30">
        <f t="shared" si="0"/>
        <v>146166.78000000003</v>
      </c>
    </row>
    <row r="30" spans="1:4" hidden="1">
      <c r="A30" s="29" t="s">
        <v>12</v>
      </c>
      <c r="B30" s="22">
        <v>2274</v>
      </c>
      <c r="C30" s="30">
        <v>0</v>
      </c>
      <c r="D30" s="30">
        <f t="shared" si="0"/>
        <v>0</v>
      </c>
    </row>
    <row r="31" spans="1:4">
      <c r="A31" s="29" t="s">
        <v>8</v>
      </c>
      <c r="B31" s="22">
        <v>2275</v>
      </c>
      <c r="C31" s="31">
        <f>6471.23+2706.62</f>
        <v>9177.8499999999985</v>
      </c>
      <c r="D31" s="31">
        <f t="shared" si="0"/>
        <v>9177.8499999999985</v>
      </c>
    </row>
    <row r="32" spans="1:4" s="8" customFormat="1">
      <c r="A32" s="25" t="s">
        <v>13</v>
      </c>
      <c r="B32" s="23">
        <v>2700</v>
      </c>
      <c r="C32" s="30">
        <f>C33</f>
        <v>0</v>
      </c>
      <c r="D32" s="30">
        <f t="shared" si="0"/>
        <v>0</v>
      </c>
    </row>
    <row r="33" spans="1:4">
      <c r="A33" s="29" t="s">
        <v>32</v>
      </c>
      <c r="B33" s="22">
        <v>2730</v>
      </c>
      <c r="C33" s="30"/>
      <c r="D33" s="30">
        <f t="shared" si="0"/>
        <v>0</v>
      </c>
    </row>
    <row r="34" spans="1:4" s="6" customFormat="1">
      <c r="A34" s="23" t="s">
        <v>14</v>
      </c>
      <c r="B34" s="23">
        <v>3000</v>
      </c>
      <c r="C34" s="30">
        <f>C35</f>
        <v>0</v>
      </c>
      <c r="D34" s="30">
        <f t="shared" si="0"/>
        <v>0</v>
      </c>
    </row>
    <row r="35" spans="1:4">
      <c r="A35" s="29" t="s">
        <v>16</v>
      </c>
      <c r="B35" s="22">
        <v>3110</v>
      </c>
      <c r="C35" s="30"/>
      <c r="D35" s="30">
        <f t="shared" si="0"/>
        <v>0</v>
      </c>
    </row>
    <row r="36" spans="1:4" ht="18">
      <c r="A36" s="4"/>
      <c r="C36" s="14"/>
      <c r="D36" s="14"/>
    </row>
    <row r="37" spans="1:4" ht="15" customHeight="1">
      <c r="C37" s="14"/>
      <c r="D37" s="14"/>
    </row>
    <row r="43" spans="1:4" s="5" customFormat="1"/>
    <row r="44" spans="1:4" s="5" customFormat="1"/>
    <row r="45" spans="1:4" s="5" customFormat="1"/>
    <row r="81" s="5" customFormat="1"/>
    <row r="82" s="5" customFormat="1"/>
    <row r="83" s="5" customFormat="1"/>
    <row r="119" s="5" customFormat="1"/>
    <row r="120" s="5" customFormat="1"/>
    <row r="121" s="5" customFormat="1"/>
    <row r="157" s="5" customFormat="1"/>
    <row r="158" s="5" customFormat="1"/>
    <row r="159" s="5" customFormat="1"/>
    <row r="195" s="5" customFormat="1"/>
    <row r="196" s="5" customFormat="1"/>
    <row r="197" s="5" customFormat="1"/>
    <row r="233" s="5" customFormat="1"/>
    <row r="234" s="5" customFormat="1"/>
    <row r="235" s="5" customFormat="1"/>
    <row r="271" s="5" customFormat="1"/>
    <row r="272" s="5" customFormat="1"/>
    <row r="273" s="5" customFormat="1"/>
    <row r="309" s="5" customFormat="1"/>
    <row r="310" s="5" customFormat="1"/>
    <row r="311" s="5" customFormat="1"/>
    <row r="347" s="5" customFormat="1"/>
    <row r="348" s="5" customFormat="1"/>
    <row r="349" s="5" customFormat="1"/>
    <row r="385" s="5" customFormat="1"/>
    <row r="386" s="5" customFormat="1"/>
    <row r="387" s="5" customFormat="1"/>
    <row r="423" s="5" customFormat="1"/>
    <row r="424" s="5" customFormat="1"/>
    <row r="425" s="5" customFormat="1"/>
  </sheetData>
  <mergeCells count="5">
    <mergeCell ref="A1:D1"/>
    <mergeCell ref="A2:D2"/>
    <mergeCell ref="A3:D3"/>
    <mergeCell ref="B5:D5"/>
    <mergeCell ref="A12:D12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425"/>
  <sheetViews>
    <sheetView view="pageBreakPreview" zoomScaleNormal="90" zoomScaleSheetLayoutView="100" workbookViewId="0">
      <selection activeCell="E1" sqref="E1:G1048576"/>
    </sheetView>
  </sheetViews>
  <sheetFormatPr defaultColWidth="14.42578125" defaultRowHeight="15" customHeight="1"/>
  <cols>
    <col min="1" max="1" width="57.85546875" style="11" customWidth="1"/>
    <col min="2" max="2" width="10.85546875" style="11" customWidth="1"/>
    <col min="3" max="4" width="17.42578125" style="11" customWidth="1"/>
    <col min="5" max="16384" width="14.42578125" style="11"/>
  </cols>
  <sheetData>
    <row r="1" spans="1:4">
      <c r="A1" s="42" t="s">
        <v>0</v>
      </c>
      <c r="B1" s="43"/>
      <c r="C1" s="43"/>
      <c r="D1" s="43"/>
    </row>
    <row r="2" spans="1:4">
      <c r="A2" s="41" t="s">
        <v>35</v>
      </c>
      <c r="B2" s="40"/>
      <c r="C2" s="40"/>
      <c r="D2" s="40"/>
    </row>
    <row r="3" spans="1:4">
      <c r="A3" s="41" t="s">
        <v>60</v>
      </c>
      <c r="B3" s="40"/>
      <c r="C3" s="40"/>
      <c r="D3" s="40"/>
    </row>
    <row r="4" spans="1:4">
      <c r="A4" s="1"/>
      <c r="B4" s="1"/>
      <c r="C4" s="2"/>
    </row>
    <row r="5" spans="1:4" ht="67.5" customHeight="1">
      <c r="A5" s="13" t="s">
        <v>23</v>
      </c>
      <c r="B5" s="44" t="s">
        <v>55</v>
      </c>
      <c r="C5" s="44"/>
      <c r="D5" s="44"/>
    </row>
    <row r="6" spans="1:4">
      <c r="A6" s="13" t="s">
        <v>24</v>
      </c>
      <c r="B6" s="12" t="s">
        <v>25</v>
      </c>
    </row>
    <row r="7" spans="1:4">
      <c r="A7" s="13" t="s">
        <v>26</v>
      </c>
      <c r="B7" s="12" t="s">
        <v>27</v>
      </c>
    </row>
    <row r="8" spans="1:4" ht="25.5">
      <c r="A8" s="1" t="s">
        <v>28</v>
      </c>
      <c r="B8" s="12" t="s">
        <v>29</v>
      </c>
    </row>
    <row r="9" spans="1:4" ht="38.25">
      <c r="A9" s="1" t="s">
        <v>30</v>
      </c>
      <c r="B9" s="12" t="s">
        <v>20</v>
      </c>
    </row>
    <row r="10" spans="1:4">
      <c r="A10" s="3" t="s">
        <v>21</v>
      </c>
    </row>
    <row r="11" spans="1:4">
      <c r="A11" s="3" t="s">
        <v>1</v>
      </c>
    </row>
    <row r="12" spans="1:4" ht="15.75">
      <c r="A12" s="45"/>
      <c r="B12" s="43"/>
      <c r="C12" s="43"/>
      <c r="D12" s="43"/>
    </row>
    <row r="13" spans="1:4" ht="36">
      <c r="A13" s="22" t="s">
        <v>2</v>
      </c>
      <c r="B13" s="22" t="s">
        <v>22</v>
      </c>
      <c r="C13" s="22" t="s">
        <v>33</v>
      </c>
      <c r="D13" s="22" t="s">
        <v>34</v>
      </c>
    </row>
    <row r="14" spans="1:4">
      <c r="A14" s="23">
        <v>1</v>
      </c>
      <c r="B14" s="23">
        <v>2</v>
      </c>
      <c r="C14" s="23">
        <v>3</v>
      </c>
      <c r="D14" s="23">
        <v>4</v>
      </c>
    </row>
    <row r="15" spans="1:4" s="7" customFormat="1">
      <c r="A15" s="23" t="s">
        <v>3</v>
      </c>
      <c r="B15" s="23" t="s">
        <v>4</v>
      </c>
      <c r="C15" s="24">
        <f>C16+C34</f>
        <v>1201735.0699999998</v>
      </c>
      <c r="D15" s="24">
        <f>C15</f>
        <v>1201735.0699999998</v>
      </c>
    </row>
    <row r="16" spans="1:4" s="6" customFormat="1" ht="24">
      <c r="A16" s="22" t="s">
        <v>18</v>
      </c>
      <c r="B16" s="23">
        <v>2000</v>
      </c>
      <c r="C16" s="24">
        <f>C17+C32</f>
        <v>1201735.0699999998</v>
      </c>
      <c r="D16" s="24">
        <f t="shared" ref="D16:D35" si="0">C16</f>
        <v>1201735.0699999998</v>
      </c>
    </row>
    <row r="17" spans="1:4" s="8" customFormat="1">
      <c r="A17" s="25" t="s">
        <v>5</v>
      </c>
      <c r="B17" s="23">
        <v>2200</v>
      </c>
      <c r="C17" s="24">
        <f>C18+C20+C21+C22+C26+C23+C25+C19+C24</f>
        <v>1201735.0699999998</v>
      </c>
      <c r="D17" s="24">
        <f t="shared" si="0"/>
        <v>1201735.0699999998</v>
      </c>
    </row>
    <row r="18" spans="1:4" s="9" customFormat="1">
      <c r="A18" s="26" t="s">
        <v>6</v>
      </c>
      <c r="B18" s="37">
        <v>2210</v>
      </c>
      <c r="C18" s="28">
        <f>3900+5295+1149.5+2784.43</f>
        <v>13128.93</v>
      </c>
      <c r="D18" s="28">
        <f t="shared" si="0"/>
        <v>13128.93</v>
      </c>
    </row>
    <row r="19" spans="1:4" s="9" customFormat="1" ht="24">
      <c r="A19" s="25" t="s">
        <v>61</v>
      </c>
      <c r="B19" s="23">
        <v>2210</v>
      </c>
      <c r="C19" s="36">
        <f>3950*2+22200+7320+10520+9344+13168+49250</f>
        <v>119702</v>
      </c>
      <c r="D19" s="36">
        <f t="shared" si="0"/>
        <v>119702</v>
      </c>
    </row>
    <row r="20" spans="1:4" s="9" customFormat="1">
      <c r="A20" s="26" t="s">
        <v>36</v>
      </c>
      <c r="B20" s="27">
        <v>2210</v>
      </c>
      <c r="C20" s="28">
        <f>24999.61</f>
        <v>24999.61</v>
      </c>
      <c r="D20" s="28">
        <f t="shared" si="0"/>
        <v>24999.61</v>
      </c>
    </row>
    <row r="21" spans="1:4" s="9" customFormat="1">
      <c r="A21" s="25" t="s">
        <v>7</v>
      </c>
      <c r="B21" s="23">
        <v>2240</v>
      </c>
      <c r="C21" s="24">
        <f>450+4455+1372.8+1727.48+5049+2074.89</f>
        <v>15129.17</v>
      </c>
      <c r="D21" s="28">
        <f t="shared" si="0"/>
        <v>15129.17</v>
      </c>
    </row>
    <row r="22" spans="1:4" s="9" customFormat="1">
      <c r="A22" s="25" t="s">
        <v>37</v>
      </c>
      <c r="B22" s="23">
        <v>2240</v>
      </c>
      <c r="C22" s="24">
        <f>24999.98</f>
        <v>24999.98</v>
      </c>
      <c r="D22" s="28">
        <f t="shared" si="0"/>
        <v>24999.98</v>
      </c>
    </row>
    <row r="23" spans="1:4" s="9" customFormat="1">
      <c r="A23" s="25" t="s">
        <v>19</v>
      </c>
      <c r="B23" s="23">
        <v>2240</v>
      </c>
      <c r="C23" s="24"/>
      <c r="D23" s="28">
        <f t="shared" si="0"/>
        <v>0</v>
      </c>
    </row>
    <row r="24" spans="1:4" s="9" customFormat="1" ht="24">
      <c r="A24" s="25" t="s">
        <v>61</v>
      </c>
      <c r="B24" s="23">
        <v>2240</v>
      </c>
      <c r="C24" s="24">
        <f>27575.13</f>
        <v>27575.13</v>
      </c>
      <c r="D24" s="24">
        <f t="shared" si="0"/>
        <v>27575.13</v>
      </c>
    </row>
    <row r="25" spans="1:4" s="9" customFormat="1">
      <c r="A25" s="25" t="s">
        <v>39</v>
      </c>
      <c r="B25" s="23">
        <v>2240</v>
      </c>
      <c r="C25" s="24">
        <f>2995.69+682.5</f>
        <v>3678.19</v>
      </c>
      <c r="D25" s="28">
        <f t="shared" si="0"/>
        <v>3678.19</v>
      </c>
    </row>
    <row r="26" spans="1:4" s="9" customFormat="1">
      <c r="A26" s="25" t="s">
        <v>15</v>
      </c>
      <c r="B26" s="23">
        <v>2270</v>
      </c>
      <c r="C26" s="24">
        <f>SUM(C27:C31)</f>
        <v>972522.06</v>
      </c>
      <c r="D26" s="24">
        <f t="shared" si="0"/>
        <v>972522.06</v>
      </c>
    </row>
    <row r="27" spans="1:4">
      <c r="A27" s="29" t="s">
        <v>9</v>
      </c>
      <c r="B27" s="22">
        <v>2271</v>
      </c>
      <c r="C27" s="30">
        <f>539301.15+278737.76</f>
        <v>818038.91</v>
      </c>
      <c r="D27" s="30">
        <f t="shared" si="0"/>
        <v>818038.91</v>
      </c>
    </row>
    <row r="28" spans="1:4">
      <c r="A28" s="29" t="s">
        <v>10</v>
      </c>
      <c r="B28" s="22">
        <v>2272</v>
      </c>
      <c r="C28" s="30">
        <f>27989.28+13332.96</f>
        <v>41322.239999999998</v>
      </c>
      <c r="D28" s="30">
        <f t="shared" si="0"/>
        <v>41322.239999999998</v>
      </c>
    </row>
    <row r="29" spans="1:4">
      <c r="A29" s="29" t="s">
        <v>11</v>
      </c>
      <c r="B29" s="22">
        <v>2273</v>
      </c>
      <c r="C29" s="30">
        <f>94108.74+14406.27</f>
        <v>108515.01000000001</v>
      </c>
      <c r="D29" s="30">
        <f t="shared" si="0"/>
        <v>108515.01000000001</v>
      </c>
    </row>
    <row r="30" spans="1:4" hidden="1">
      <c r="A30" s="29" t="s">
        <v>12</v>
      </c>
      <c r="B30" s="22">
        <v>2274</v>
      </c>
      <c r="C30" s="30">
        <v>0</v>
      </c>
      <c r="D30" s="30">
        <f t="shared" si="0"/>
        <v>0</v>
      </c>
    </row>
    <row r="31" spans="1:4">
      <c r="A31" s="29" t="s">
        <v>8</v>
      </c>
      <c r="B31" s="22">
        <v>2275</v>
      </c>
      <c r="C31" s="31">
        <f>3235.62+1410.28</f>
        <v>4645.8999999999996</v>
      </c>
      <c r="D31" s="31">
        <f t="shared" si="0"/>
        <v>4645.8999999999996</v>
      </c>
    </row>
    <row r="32" spans="1:4" s="8" customFormat="1">
      <c r="A32" s="25" t="s">
        <v>13</v>
      </c>
      <c r="B32" s="23">
        <v>2700</v>
      </c>
      <c r="C32" s="30">
        <f>C33</f>
        <v>0</v>
      </c>
      <c r="D32" s="30">
        <f t="shared" si="0"/>
        <v>0</v>
      </c>
    </row>
    <row r="33" spans="1:4">
      <c r="A33" s="29" t="s">
        <v>32</v>
      </c>
      <c r="B33" s="22">
        <v>2730</v>
      </c>
      <c r="C33" s="30"/>
      <c r="D33" s="30">
        <f t="shared" si="0"/>
        <v>0</v>
      </c>
    </row>
    <row r="34" spans="1:4" s="6" customFormat="1">
      <c r="A34" s="23" t="s">
        <v>14</v>
      </c>
      <c r="B34" s="23">
        <v>3000</v>
      </c>
      <c r="C34" s="30">
        <f>C35</f>
        <v>0</v>
      </c>
      <c r="D34" s="30">
        <f t="shared" si="0"/>
        <v>0</v>
      </c>
    </row>
    <row r="35" spans="1:4">
      <c r="A35" s="29" t="s">
        <v>16</v>
      </c>
      <c r="B35" s="22">
        <v>3110</v>
      </c>
      <c r="C35" s="30"/>
      <c r="D35" s="30">
        <f t="shared" si="0"/>
        <v>0</v>
      </c>
    </row>
    <row r="36" spans="1:4" ht="18">
      <c r="A36" s="4"/>
      <c r="C36" s="14"/>
      <c r="D36" s="14"/>
    </row>
    <row r="37" spans="1:4" ht="15" customHeight="1">
      <c r="C37" s="14"/>
      <c r="D37" s="14"/>
    </row>
    <row r="43" spans="1:4" s="5" customFormat="1"/>
    <row r="44" spans="1:4" s="5" customFormat="1"/>
    <row r="45" spans="1:4" s="5" customFormat="1"/>
    <row r="81" s="5" customFormat="1"/>
    <row r="82" s="5" customFormat="1"/>
    <row r="83" s="5" customFormat="1"/>
    <row r="119" s="5" customFormat="1"/>
    <row r="120" s="5" customFormat="1"/>
    <row r="121" s="5" customFormat="1"/>
    <row r="157" s="5" customFormat="1"/>
    <row r="158" s="5" customFormat="1"/>
    <row r="159" s="5" customFormat="1"/>
    <row r="195" s="5" customFormat="1"/>
    <row r="196" s="5" customFormat="1"/>
    <row r="197" s="5" customFormat="1"/>
    <row r="233" s="5" customFormat="1"/>
    <row r="234" s="5" customFormat="1"/>
    <row r="235" s="5" customFormat="1"/>
    <row r="271" s="5" customFormat="1"/>
    <row r="272" s="5" customFormat="1"/>
    <row r="273" s="5" customFormat="1"/>
    <row r="309" s="5" customFormat="1"/>
    <row r="310" s="5" customFormat="1"/>
    <row r="311" s="5" customFormat="1"/>
    <row r="347" s="5" customFormat="1"/>
    <row r="348" s="5" customFormat="1"/>
    <row r="349" s="5" customFormat="1"/>
    <row r="385" s="5" customFormat="1"/>
    <row r="386" s="5" customFormat="1"/>
    <row r="387" s="5" customFormat="1"/>
    <row r="423" s="5" customFormat="1"/>
    <row r="424" s="5" customFormat="1"/>
    <row r="425" s="5" customFormat="1"/>
  </sheetData>
  <mergeCells count="5">
    <mergeCell ref="A1:D1"/>
    <mergeCell ref="A2:D2"/>
    <mergeCell ref="A3:D3"/>
    <mergeCell ref="B5:D5"/>
    <mergeCell ref="A12:D12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425"/>
  <sheetViews>
    <sheetView view="pageBreakPreview" zoomScaleNormal="70" zoomScaleSheetLayoutView="100" workbookViewId="0">
      <selection activeCell="E1" sqref="E1:G1048576"/>
    </sheetView>
  </sheetViews>
  <sheetFormatPr defaultColWidth="14.42578125" defaultRowHeight="15" customHeight="1"/>
  <cols>
    <col min="1" max="1" width="57.85546875" style="11" customWidth="1"/>
    <col min="2" max="2" width="10.85546875" style="11" customWidth="1"/>
    <col min="3" max="4" width="17.42578125" style="11" customWidth="1"/>
    <col min="5" max="16384" width="14.42578125" style="11"/>
  </cols>
  <sheetData>
    <row r="1" spans="1:4">
      <c r="A1" s="42" t="s">
        <v>0</v>
      </c>
      <c r="B1" s="43"/>
      <c r="C1" s="43"/>
      <c r="D1" s="43"/>
    </row>
    <row r="2" spans="1:4">
      <c r="A2" s="41" t="s">
        <v>35</v>
      </c>
      <c r="B2" s="40"/>
      <c r="C2" s="40"/>
      <c r="D2" s="40"/>
    </row>
    <row r="3" spans="1:4">
      <c r="A3" s="41" t="s">
        <v>60</v>
      </c>
      <c r="B3" s="40"/>
      <c r="C3" s="40"/>
      <c r="D3" s="40"/>
    </row>
    <row r="4" spans="1:4">
      <c r="A4" s="1"/>
      <c r="B4" s="1"/>
      <c r="C4" s="2"/>
    </row>
    <row r="5" spans="1:4" ht="67.5" customHeight="1">
      <c r="A5" s="13" t="s">
        <v>23</v>
      </c>
      <c r="B5" s="44" t="s">
        <v>56</v>
      </c>
      <c r="C5" s="44"/>
      <c r="D5" s="44"/>
    </row>
    <row r="6" spans="1:4">
      <c r="A6" s="13" t="s">
        <v>24</v>
      </c>
      <c r="B6" s="12" t="s">
        <v>25</v>
      </c>
    </row>
    <row r="7" spans="1:4">
      <c r="A7" s="13" t="s">
        <v>26</v>
      </c>
      <c r="B7" s="12" t="s">
        <v>27</v>
      </c>
    </row>
    <row r="8" spans="1:4" ht="25.5">
      <c r="A8" s="1" t="s">
        <v>28</v>
      </c>
      <c r="B8" s="12" t="s">
        <v>29</v>
      </c>
    </row>
    <row r="9" spans="1:4" ht="38.25">
      <c r="A9" s="1" t="s">
        <v>30</v>
      </c>
      <c r="B9" s="12" t="s">
        <v>20</v>
      </c>
    </row>
    <row r="10" spans="1:4">
      <c r="A10" s="3" t="s">
        <v>21</v>
      </c>
    </row>
    <row r="11" spans="1:4">
      <c r="A11" s="3" t="s">
        <v>1</v>
      </c>
    </row>
    <row r="12" spans="1:4" ht="15.75">
      <c r="A12" s="45"/>
      <c r="B12" s="43"/>
      <c r="C12" s="43"/>
      <c r="D12" s="43"/>
    </row>
    <row r="13" spans="1:4" ht="36">
      <c r="A13" s="22" t="s">
        <v>2</v>
      </c>
      <c r="B13" s="22" t="s">
        <v>22</v>
      </c>
      <c r="C13" s="22" t="s">
        <v>33</v>
      </c>
      <c r="D13" s="22" t="s">
        <v>34</v>
      </c>
    </row>
    <row r="14" spans="1:4">
      <c r="A14" s="23">
        <v>1</v>
      </c>
      <c r="B14" s="23">
        <v>2</v>
      </c>
      <c r="C14" s="23">
        <v>3</v>
      </c>
      <c r="D14" s="23">
        <v>4</v>
      </c>
    </row>
    <row r="15" spans="1:4" s="7" customFormat="1">
      <c r="A15" s="23" t="s">
        <v>3</v>
      </c>
      <c r="B15" s="23" t="s">
        <v>4</v>
      </c>
      <c r="C15" s="24">
        <f>C16+C34</f>
        <v>1292119.3399999999</v>
      </c>
      <c r="D15" s="24">
        <f>C15</f>
        <v>1292119.3399999999</v>
      </c>
    </row>
    <row r="16" spans="1:4" s="6" customFormat="1" ht="24">
      <c r="A16" s="22" t="s">
        <v>18</v>
      </c>
      <c r="B16" s="23">
        <v>2000</v>
      </c>
      <c r="C16" s="24">
        <f>C17+C32</f>
        <v>1292119.3399999999</v>
      </c>
      <c r="D16" s="24">
        <f t="shared" ref="D16:D35" si="0">C16</f>
        <v>1292119.3399999999</v>
      </c>
    </row>
    <row r="17" spans="1:4" s="8" customFormat="1">
      <c r="A17" s="25" t="s">
        <v>5</v>
      </c>
      <c r="B17" s="23">
        <v>2200</v>
      </c>
      <c r="C17" s="24">
        <f>C18+C20+C21+C22+C26+C23+C25+C19+C24</f>
        <v>1292119.3399999999</v>
      </c>
      <c r="D17" s="24">
        <f t="shared" si="0"/>
        <v>1292119.3399999999</v>
      </c>
    </row>
    <row r="18" spans="1:4" s="9" customFormat="1">
      <c r="A18" s="26" t="s">
        <v>6</v>
      </c>
      <c r="B18" s="37">
        <v>2210</v>
      </c>
      <c r="C18" s="36">
        <f>5850+6455+1149.5+2784.43</f>
        <v>16238.93</v>
      </c>
      <c r="D18" s="36">
        <f t="shared" si="0"/>
        <v>16238.93</v>
      </c>
    </row>
    <row r="19" spans="1:4" s="9" customFormat="1" ht="24">
      <c r="A19" s="25" t="s">
        <v>61</v>
      </c>
      <c r="B19" s="23">
        <v>2210</v>
      </c>
      <c r="C19" s="36">
        <f>3950</f>
        <v>3950</v>
      </c>
      <c r="D19" s="36">
        <f t="shared" si="0"/>
        <v>3950</v>
      </c>
    </row>
    <row r="20" spans="1:4" s="9" customFormat="1">
      <c r="A20" s="26" t="s">
        <v>36</v>
      </c>
      <c r="B20" s="27">
        <v>2210</v>
      </c>
      <c r="C20" s="28"/>
      <c r="D20" s="28">
        <f t="shared" si="0"/>
        <v>0</v>
      </c>
    </row>
    <row r="21" spans="1:4" s="9" customFormat="1">
      <c r="A21" s="25" t="s">
        <v>7</v>
      </c>
      <c r="B21" s="23">
        <v>2240</v>
      </c>
      <c r="C21" s="24">
        <f>450+4455+2059.2+2411.48+1683+2074.89</f>
        <v>13133.57</v>
      </c>
      <c r="D21" s="28">
        <f t="shared" si="0"/>
        <v>13133.57</v>
      </c>
    </row>
    <row r="22" spans="1:4" s="9" customFormat="1">
      <c r="A22" s="25" t="s">
        <v>37</v>
      </c>
      <c r="B22" s="23">
        <v>2240</v>
      </c>
      <c r="C22" s="24"/>
      <c r="D22" s="28">
        <f t="shared" si="0"/>
        <v>0</v>
      </c>
    </row>
    <row r="23" spans="1:4" s="9" customFormat="1">
      <c r="A23" s="25" t="s">
        <v>19</v>
      </c>
      <c r="B23" s="23">
        <v>2240</v>
      </c>
      <c r="C23" s="24"/>
      <c r="D23" s="28">
        <f t="shared" si="0"/>
        <v>0</v>
      </c>
    </row>
    <row r="24" spans="1:4" s="9" customFormat="1" ht="24">
      <c r="A24" s="25" t="s">
        <v>61</v>
      </c>
      <c r="B24" s="23">
        <v>2240</v>
      </c>
      <c r="C24" s="24">
        <f>25181.68</f>
        <v>25181.68</v>
      </c>
      <c r="D24" s="24">
        <f t="shared" si="0"/>
        <v>25181.68</v>
      </c>
    </row>
    <row r="25" spans="1:4" s="9" customFormat="1">
      <c r="A25" s="25" t="s">
        <v>39</v>
      </c>
      <c r="B25" s="23">
        <v>2240</v>
      </c>
      <c r="C25" s="24">
        <f>3541.97+845+25570</f>
        <v>29956.97</v>
      </c>
      <c r="D25" s="28">
        <f t="shared" si="0"/>
        <v>29956.97</v>
      </c>
    </row>
    <row r="26" spans="1:4" s="9" customFormat="1">
      <c r="A26" s="25" t="s">
        <v>15</v>
      </c>
      <c r="B26" s="23">
        <v>2270</v>
      </c>
      <c r="C26" s="24">
        <f>SUM(C27:C31)</f>
        <v>1203658.19</v>
      </c>
      <c r="D26" s="28">
        <f t="shared" si="0"/>
        <v>1203658.19</v>
      </c>
    </row>
    <row r="27" spans="1:4">
      <c r="A27" s="29" t="s">
        <v>9</v>
      </c>
      <c r="B27" s="22">
        <v>2271</v>
      </c>
      <c r="C27" s="30">
        <f>720703.3+299207.8</f>
        <v>1019911.1000000001</v>
      </c>
      <c r="D27" s="28">
        <f t="shared" si="0"/>
        <v>1019911.1000000001</v>
      </c>
    </row>
    <row r="28" spans="1:4">
      <c r="A28" s="29" t="s">
        <v>10</v>
      </c>
      <c r="B28" s="22">
        <v>2272</v>
      </c>
      <c r="C28" s="30">
        <f>23337.6+2042.5</f>
        <v>25380.1</v>
      </c>
      <c r="D28" s="30">
        <f t="shared" si="0"/>
        <v>25380.1</v>
      </c>
    </row>
    <row r="29" spans="1:4">
      <c r="A29" s="29" t="s">
        <v>11</v>
      </c>
      <c r="B29" s="22">
        <v>2273</v>
      </c>
      <c r="C29" s="30">
        <f>122389.13+25054.9</f>
        <v>147444.03</v>
      </c>
      <c r="D29" s="30">
        <f t="shared" si="0"/>
        <v>147444.03</v>
      </c>
    </row>
    <row r="30" spans="1:4" hidden="1">
      <c r="A30" s="29" t="s">
        <v>12</v>
      </c>
      <c r="B30" s="22">
        <v>2274</v>
      </c>
      <c r="C30" s="30">
        <v>0</v>
      </c>
      <c r="D30" s="30">
        <f t="shared" si="0"/>
        <v>0</v>
      </c>
    </row>
    <row r="31" spans="1:4">
      <c r="A31" s="29" t="s">
        <v>8</v>
      </c>
      <c r="B31" s="22">
        <v>2275</v>
      </c>
      <c r="C31" s="31">
        <f>8018.7+2904.26</f>
        <v>10922.96</v>
      </c>
      <c r="D31" s="31">
        <f t="shared" si="0"/>
        <v>10922.96</v>
      </c>
    </row>
    <row r="32" spans="1:4" s="8" customFormat="1">
      <c r="A32" s="25" t="s">
        <v>13</v>
      </c>
      <c r="B32" s="23">
        <v>2700</v>
      </c>
      <c r="C32" s="30">
        <f>C33</f>
        <v>0</v>
      </c>
      <c r="D32" s="30">
        <f t="shared" si="0"/>
        <v>0</v>
      </c>
    </row>
    <row r="33" spans="1:4">
      <c r="A33" s="29" t="s">
        <v>32</v>
      </c>
      <c r="B33" s="22">
        <v>2730</v>
      </c>
      <c r="C33" s="30"/>
      <c r="D33" s="30">
        <f t="shared" si="0"/>
        <v>0</v>
      </c>
    </row>
    <row r="34" spans="1:4" s="6" customFormat="1">
      <c r="A34" s="23" t="s">
        <v>14</v>
      </c>
      <c r="B34" s="23">
        <v>3000</v>
      </c>
      <c r="C34" s="30">
        <f>C35</f>
        <v>0</v>
      </c>
      <c r="D34" s="30">
        <f t="shared" si="0"/>
        <v>0</v>
      </c>
    </row>
    <row r="35" spans="1:4">
      <c r="A35" s="29" t="s">
        <v>16</v>
      </c>
      <c r="B35" s="22">
        <v>3110</v>
      </c>
      <c r="C35" s="30"/>
      <c r="D35" s="30">
        <f t="shared" si="0"/>
        <v>0</v>
      </c>
    </row>
    <row r="36" spans="1:4" ht="18">
      <c r="A36" s="4"/>
      <c r="C36" s="14"/>
      <c r="D36" s="14"/>
    </row>
    <row r="37" spans="1:4" ht="15" customHeight="1">
      <c r="C37" s="14"/>
      <c r="D37" s="14"/>
    </row>
    <row r="43" spans="1:4" s="5" customFormat="1"/>
    <row r="44" spans="1:4" s="5" customFormat="1"/>
    <row r="45" spans="1:4" s="5" customFormat="1"/>
    <row r="81" s="5" customFormat="1"/>
    <row r="82" s="5" customFormat="1"/>
    <row r="83" s="5" customFormat="1"/>
    <row r="119" s="5" customFormat="1"/>
    <row r="120" s="5" customFormat="1"/>
    <row r="121" s="5" customFormat="1"/>
    <row r="157" s="5" customFormat="1"/>
    <row r="158" s="5" customFormat="1"/>
    <row r="159" s="5" customFormat="1"/>
    <row r="195" s="5" customFormat="1"/>
    <row r="196" s="5" customFormat="1"/>
    <row r="197" s="5" customFormat="1"/>
    <row r="233" s="5" customFormat="1"/>
    <row r="234" s="5" customFormat="1"/>
    <row r="235" s="5" customFormat="1"/>
    <row r="271" s="5" customFormat="1"/>
    <row r="272" s="5" customFormat="1"/>
    <row r="273" s="5" customFormat="1"/>
    <row r="309" s="5" customFormat="1"/>
    <row r="310" s="5" customFormat="1"/>
    <row r="311" s="5" customFormat="1"/>
    <row r="347" s="5" customFormat="1"/>
    <row r="348" s="5" customFormat="1"/>
    <row r="349" s="5" customFormat="1"/>
    <row r="385" s="5" customFormat="1"/>
    <row r="386" s="5" customFormat="1"/>
    <row r="387" s="5" customFormat="1"/>
    <row r="423" s="5" customFormat="1"/>
    <row r="424" s="5" customFormat="1"/>
    <row r="425" s="5" customFormat="1"/>
  </sheetData>
  <mergeCells count="5">
    <mergeCell ref="A1:D1"/>
    <mergeCell ref="A2:D2"/>
    <mergeCell ref="A3:D3"/>
    <mergeCell ref="B5:D5"/>
    <mergeCell ref="A12:D12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425"/>
  <sheetViews>
    <sheetView view="pageBreakPreview" zoomScaleNormal="80" zoomScaleSheetLayoutView="100" workbookViewId="0">
      <selection activeCell="E7" sqref="E1:G1048576"/>
    </sheetView>
  </sheetViews>
  <sheetFormatPr defaultColWidth="14.42578125" defaultRowHeight="15" customHeight="1"/>
  <cols>
    <col min="1" max="1" width="57.85546875" style="11" customWidth="1"/>
    <col min="2" max="2" width="10.85546875" style="11" customWidth="1"/>
    <col min="3" max="4" width="17.42578125" style="11" customWidth="1"/>
    <col min="5" max="16384" width="14.42578125" style="11"/>
  </cols>
  <sheetData>
    <row r="1" spans="1:4">
      <c r="A1" s="42" t="s">
        <v>0</v>
      </c>
      <c r="B1" s="43"/>
      <c r="C1" s="43"/>
      <c r="D1" s="43"/>
    </row>
    <row r="2" spans="1:4">
      <c r="A2" s="41" t="s">
        <v>35</v>
      </c>
      <c r="B2" s="40"/>
      <c r="C2" s="40"/>
      <c r="D2" s="40"/>
    </row>
    <row r="3" spans="1:4">
      <c r="A3" s="41" t="s">
        <v>60</v>
      </c>
      <c r="B3" s="40"/>
      <c r="C3" s="40"/>
      <c r="D3" s="40"/>
    </row>
    <row r="4" spans="1:4">
      <c r="A4" s="1"/>
      <c r="B4" s="1"/>
      <c r="C4" s="2"/>
    </row>
    <row r="5" spans="1:4" ht="63.75" customHeight="1">
      <c r="A5" s="13" t="s">
        <v>23</v>
      </c>
      <c r="B5" s="44" t="s">
        <v>57</v>
      </c>
      <c r="C5" s="44"/>
      <c r="D5" s="44"/>
    </row>
    <row r="6" spans="1:4">
      <c r="A6" s="13" t="s">
        <v>24</v>
      </c>
      <c r="B6" s="12" t="s">
        <v>25</v>
      </c>
    </row>
    <row r="7" spans="1:4">
      <c r="A7" s="13" t="s">
        <v>26</v>
      </c>
      <c r="B7" s="12" t="s">
        <v>27</v>
      </c>
    </row>
    <row r="8" spans="1:4" ht="25.5">
      <c r="A8" s="1" t="s">
        <v>28</v>
      </c>
      <c r="B8" s="12" t="s">
        <v>29</v>
      </c>
    </row>
    <row r="9" spans="1:4" ht="38.25">
      <c r="A9" s="1" t="s">
        <v>30</v>
      </c>
      <c r="B9" s="12" t="s">
        <v>20</v>
      </c>
    </row>
    <row r="10" spans="1:4">
      <c r="A10" s="3" t="s">
        <v>21</v>
      </c>
    </row>
    <row r="11" spans="1:4">
      <c r="A11" s="3" t="s">
        <v>1</v>
      </c>
    </row>
    <row r="12" spans="1:4" ht="15.75">
      <c r="A12" s="45"/>
      <c r="B12" s="43"/>
      <c r="C12" s="43"/>
      <c r="D12" s="43"/>
    </row>
    <row r="13" spans="1:4" ht="36">
      <c r="A13" s="22" t="s">
        <v>2</v>
      </c>
      <c r="B13" s="22" t="s">
        <v>22</v>
      </c>
      <c r="C13" s="22" t="s">
        <v>33</v>
      </c>
      <c r="D13" s="22" t="s">
        <v>34</v>
      </c>
    </row>
    <row r="14" spans="1:4">
      <c r="A14" s="23">
        <v>1</v>
      </c>
      <c r="B14" s="23">
        <v>2</v>
      </c>
      <c r="C14" s="23">
        <v>3</v>
      </c>
      <c r="D14" s="23">
        <v>4</v>
      </c>
    </row>
    <row r="15" spans="1:4" s="7" customFormat="1">
      <c r="A15" s="23" t="s">
        <v>3</v>
      </c>
      <c r="B15" s="23" t="s">
        <v>4</v>
      </c>
      <c r="C15" s="24">
        <f>C16+C34</f>
        <v>1503941.56</v>
      </c>
      <c r="D15" s="24">
        <f>C15</f>
        <v>1503941.56</v>
      </c>
    </row>
    <row r="16" spans="1:4" s="6" customFormat="1" ht="24">
      <c r="A16" s="22" t="s">
        <v>18</v>
      </c>
      <c r="B16" s="23">
        <v>2000</v>
      </c>
      <c r="C16" s="24">
        <f>C17+C32</f>
        <v>1503941.56</v>
      </c>
      <c r="D16" s="24">
        <f t="shared" ref="D16:D35" si="0">C16</f>
        <v>1503941.56</v>
      </c>
    </row>
    <row r="17" spans="1:4" s="8" customFormat="1">
      <c r="A17" s="25" t="s">
        <v>5</v>
      </c>
      <c r="B17" s="23">
        <v>2200</v>
      </c>
      <c r="C17" s="24">
        <f>C18+C20+C21+C22+C26+C23+C25+C19+C24</f>
        <v>1503941.56</v>
      </c>
      <c r="D17" s="24">
        <f t="shared" si="0"/>
        <v>1503941.56</v>
      </c>
    </row>
    <row r="18" spans="1:4" s="9" customFormat="1">
      <c r="A18" s="26" t="s">
        <v>6</v>
      </c>
      <c r="B18" s="37">
        <v>2210</v>
      </c>
      <c r="C18" s="28">
        <f>5850+6255+8+1149.5+12139.14+2784.43+5650</f>
        <v>33836.07</v>
      </c>
      <c r="D18" s="28">
        <f t="shared" si="0"/>
        <v>33836.07</v>
      </c>
    </row>
    <row r="19" spans="1:4" s="9" customFormat="1" ht="24">
      <c r="A19" s="25" t="s">
        <v>61</v>
      </c>
      <c r="B19" s="23">
        <v>2210</v>
      </c>
      <c r="C19" s="36">
        <f>3950*2+7320+10520+9344+13168+49250</f>
        <v>97502</v>
      </c>
      <c r="D19" s="36">
        <f t="shared" si="0"/>
        <v>97502</v>
      </c>
    </row>
    <row r="20" spans="1:4" s="9" customFormat="1">
      <c r="A20" s="26" t="s">
        <v>36</v>
      </c>
      <c r="B20" s="37">
        <v>2210</v>
      </c>
      <c r="C20" s="36">
        <f>9966.94+39976.74+39999.98</f>
        <v>89943.66</v>
      </c>
      <c r="D20" s="36">
        <f t="shared" si="0"/>
        <v>89943.66</v>
      </c>
    </row>
    <row r="21" spans="1:4" s="9" customFormat="1">
      <c r="A21" s="25" t="s">
        <v>7</v>
      </c>
      <c r="B21" s="23">
        <v>2240</v>
      </c>
      <c r="C21" s="24">
        <f>450+18800+4455+1372.8+3041.48+6000+9400+2074.89</f>
        <v>45594.17</v>
      </c>
      <c r="D21" s="28">
        <f t="shared" si="0"/>
        <v>45594.17</v>
      </c>
    </row>
    <row r="22" spans="1:4" s="9" customFormat="1">
      <c r="A22" s="25" t="s">
        <v>37</v>
      </c>
      <c r="B22" s="23">
        <v>2240</v>
      </c>
      <c r="C22" s="24"/>
      <c r="D22" s="28">
        <f t="shared" si="0"/>
        <v>0</v>
      </c>
    </row>
    <row r="23" spans="1:4" s="9" customFormat="1">
      <c r="A23" s="25" t="s">
        <v>19</v>
      </c>
      <c r="B23" s="23">
        <v>2240</v>
      </c>
      <c r="C23" s="24"/>
      <c r="D23" s="28">
        <f t="shared" si="0"/>
        <v>0</v>
      </c>
    </row>
    <row r="24" spans="1:4" s="9" customFormat="1" ht="24">
      <c r="A24" s="25" t="s">
        <v>61</v>
      </c>
      <c r="B24" s="23">
        <v>2240</v>
      </c>
      <c r="C24" s="24">
        <f>16838.43</f>
        <v>16838.43</v>
      </c>
      <c r="D24" s="24">
        <f t="shared" si="0"/>
        <v>16838.43</v>
      </c>
    </row>
    <row r="25" spans="1:4" s="9" customFormat="1">
      <c r="A25" s="25" t="s">
        <v>39</v>
      </c>
      <c r="B25" s="23">
        <v>2240</v>
      </c>
      <c r="C25" s="24">
        <f>4759.93</f>
        <v>4759.93</v>
      </c>
      <c r="D25" s="28">
        <f t="shared" si="0"/>
        <v>4759.93</v>
      </c>
    </row>
    <row r="26" spans="1:4" s="9" customFormat="1">
      <c r="A26" s="25" t="s">
        <v>15</v>
      </c>
      <c r="B26" s="23">
        <v>2270</v>
      </c>
      <c r="C26" s="24">
        <f>SUM(C27:C31)</f>
        <v>1215467.3</v>
      </c>
      <c r="D26" s="28">
        <f t="shared" si="0"/>
        <v>1215467.3</v>
      </c>
    </row>
    <row r="27" spans="1:4">
      <c r="A27" s="29" t="s">
        <v>9</v>
      </c>
      <c r="B27" s="22">
        <v>2271</v>
      </c>
      <c r="C27" s="30">
        <f>600615.77+303701.05</f>
        <v>904316.82000000007</v>
      </c>
      <c r="D27" s="28">
        <f t="shared" si="0"/>
        <v>904316.82000000007</v>
      </c>
    </row>
    <row r="28" spans="1:4">
      <c r="A28" s="29" t="s">
        <v>10</v>
      </c>
      <c r="B28" s="22">
        <v>2272</v>
      </c>
      <c r="C28" s="30">
        <f>30099.16+2723.33</f>
        <v>32822.49</v>
      </c>
      <c r="D28" s="28">
        <f t="shared" si="0"/>
        <v>32822.49</v>
      </c>
    </row>
    <row r="29" spans="1:4">
      <c r="A29" s="29" t="s">
        <v>11</v>
      </c>
      <c r="B29" s="22">
        <v>2273</v>
      </c>
      <c r="C29" s="30">
        <f>219919.02+48273.11</f>
        <v>268192.13</v>
      </c>
      <c r="D29" s="30">
        <f t="shared" si="0"/>
        <v>268192.13</v>
      </c>
    </row>
    <row r="30" spans="1:4" hidden="1">
      <c r="A30" s="29" t="s">
        <v>12</v>
      </c>
      <c r="B30" s="22">
        <v>2274</v>
      </c>
      <c r="C30" s="30">
        <v>0</v>
      </c>
      <c r="D30" s="30">
        <f t="shared" si="0"/>
        <v>0</v>
      </c>
    </row>
    <row r="31" spans="1:4">
      <c r="A31" s="29" t="s">
        <v>8</v>
      </c>
      <c r="B31" s="22">
        <v>2275</v>
      </c>
      <c r="C31" s="31">
        <f>7033.95+3101.91</f>
        <v>10135.86</v>
      </c>
      <c r="D31" s="31">
        <f t="shared" si="0"/>
        <v>10135.86</v>
      </c>
    </row>
    <row r="32" spans="1:4" s="8" customFormat="1">
      <c r="A32" s="25" t="s">
        <v>13</v>
      </c>
      <c r="B32" s="23">
        <v>2700</v>
      </c>
      <c r="C32" s="30">
        <f>C33</f>
        <v>0</v>
      </c>
      <c r="D32" s="30">
        <f t="shared" si="0"/>
        <v>0</v>
      </c>
    </row>
    <row r="33" spans="1:4">
      <c r="A33" s="29" t="s">
        <v>32</v>
      </c>
      <c r="B33" s="22">
        <v>2730</v>
      </c>
      <c r="C33" s="30"/>
      <c r="D33" s="30">
        <f t="shared" si="0"/>
        <v>0</v>
      </c>
    </row>
    <row r="34" spans="1:4" s="6" customFormat="1">
      <c r="A34" s="23" t="s">
        <v>14</v>
      </c>
      <c r="B34" s="23">
        <v>3000</v>
      </c>
      <c r="C34" s="30">
        <f>C35</f>
        <v>0</v>
      </c>
      <c r="D34" s="30">
        <f t="shared" si="0"/>
        <v>0</v>
      </c>
    </row>
    <row r="35" spans="1:4">
      <c r="A35" s="29" t="s">
        <v>16</v>
      </c>
      <c r="B35" s="22">
        <v>3110</v>
      </c>
      <c r="C35" s="30"/>
      <c r="D35" s="30">
        <f t="shared" si="0"/>
        <v>0</v>
      </c>
    </row>
    <row r="36" spans="1:4" ht="18">
      <c r="A36" s="4"/>
      <c r="C36" s="14"/>
    </row>
    <row r="43" spans="1:4" s="5" customFormat="1"/>
    <row r="44" spans="1:4" s="5" customFormat="1"/>
    <row r="45" spans="1:4" s="5" customFormat="1"/>
    <row r="81" s="5" customFormat="1"/>
    <row r="82" s="5" customFormat="1"/>
    <row r="83" s="5" customFormat="1"/>
    <row r="119" s="5" customFormat="1"/>
    <row r="120" s="5" customFormat="1"/>
    <row r="121" s="5" customFormat="1"/>
    <row r="157" s="5" customFormat="1"/>
    <row r="158" s="5" customFormat="1"/>
    <row r="159" s="5" customFormat="1"/>
    <row r="195" s="5" customFormat="1"/>
    <row r="196" s="5" customFormat="1"/>
    <row r="197" s="5" customFormat="1"/>
    <row r="233" s="5" customFormat="1"/>
    <row r="234" s="5" customFormat="1"/>
    <row r="235" s="5" customFormat="1"/>
    <row r="271" s="5" customFormat="1"/>
    <row r="272" s="5" customFormat="1"/>
    <row r="273" s="5" customFormat="1"/>
    <row r="309" s="5" customFormat="1"/>
    <row r="310" s="5" customFormat="1"/>
    <row r="311" s="5" customFormat="1"/>
    <row r="347" s="5" customFormat="1"/>
    <row r="348" s="5" customFormat="1"/>
    <row r="349" s="5" customFormat="1"/>
    <row r="385" s="5" customFormat="1"/>
    <row r="386" s="5" customFormat="1"/>
    <row r="387" s="5" customFormat="1"/>
    <row r="423" s="5" customFormat="1"/>
    <row r="424" s="5" customFormat="1"/>
    <row r="425" s="5" customFormat="1"/>
  </sheetData>
  <mergeCells count="5">
    <mergeCell ref="A1:D1"/>
    <mergeCell ref="A2:D2"/>
    <mergeCell ref="A3:D3"/>
    <mergeCell ref="B5:D5"/>
    <mergeCell ref="A12:D12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425"/>
  <sheetViews>
    <sheetView view="pageBreakPreview" zoomScaleNormal="80" zoomScaleSheetLayoutView="100" workbookViewId="0">
      <selection activeCell="E7" sqref="E1:G1048576"/>
    </sheetView>
  </sheetViews>
  <sheetFormatPr defaultColWidth="14.42578125" defaultRowHeight="15" customHeight="1"/>
  <cols>
    <col min="1" max="1" width="57.85546875" style="11" customWidth="1"/>
    <col min="2" max="2" width="10.85546875" style="11" customWidth="1"/>
    <col min="3" max="4" width="17.42578125" style="11" customWidth="1"/>
    <col min="5" max="16384" width="14.42578125" style="11"/>
  </cols>
  <sheetData>
    <row r="1" spans="1:4">
      <c r="A1" s="42" t="s">
        <v>0</v>
      </c>
      <c r="B1" s="43"/>
      <c r="C1" s="43"/>
      <c r="D1" s="43"/>
    </row>
    <row r="2" spans="1:4">
      <c r="A2" s="41" t="s">
        <v>35</v>
      </c>
      <c r="B2" s="40"/>
      <c r="C2" s="40"/>
      <c r="D2" s="40"/>
    </row>
    <row r="3" spans="1:4">
      <c r="A3" s="41" t="s">
        <v>60</v>
      </c>
      <c r="B3" s="40"/>
      <c r="C3" s="40"/>
      <c r="D3" s="40"/>
    </row>
    <row r="4" spans="1:4">
      <c r="A4" s="1"/>
      <c r="B4" s="1"/>
      <c r="C4" s="2"/>
    </row>
    <row r="5" spans="1:4" ht="63.75" customHeight="1">
      <c r="A5" s="13" t="s">
        <v>23</v>
      </c>
      <c r="B5" s="44" t="s">
        <v>58</v>
      </c>
      <c r="C5" s="44"/>
      <c r="D5" s="44"/>
    </row>
    <row r="6" spans="1:4">
      <c r="A6" s="13" t="s">
        <v>24</v>
      </c>
      <c r="B6" s="12" t="s">
        <v>25</v>
      </c>
    </row>
    <row r="7" spans="1:4">
      <c r="A7" s="13" t="s">
        <v>26</v>
      </c>
      <c r="B7" s="12" t="s">
        <v>27</v>
      </c>
    </row>
    <row r="8" spans="1:4" ht="25.5">
      <c r="A8" s="1" t="s">
        <v>28</v>
      </c>
      <c r="B8" s="12" t="s">
        <v>29</v>
      </c>
    </row>
    <row r="9" spans="1:4" ht="38.25">
      <c r="A9" s="1" t="s">
        <v>30</v>
      </c>
      <c r="B9" s="12" t="s">
        <v>20</v>
      </c>
    </row>
    <row r="10" spans="1:4">
      <c r="A10" s="3" t="s">
        <v>21</v>
      </c>
    </row>
    <row r="11" spans="1:4">
      <c r="A11" s="3" t="s">
        <v>1</v>
      </c>
    </row>
    <row r="12" spans="1:4" ht="15.75">
      <c r="A12" s="45"/>
      <c r="B12" s="43"/>
      <c r="C12" s="43"/>
      <c r="D12" s="43"/>
    </row>
    <row r="13" spans="1:4" ht="36">
      <c r="A13" s="22" t="s">
        <v>2</v>
      </c>
      <c r="B13" s="22" t="s">
        <v>22</v>
      </c>
      <c r="C13" s="22" t="s">
        <v>33</v>
      </c>
      <c r="D13" s="22" t="s">
        <v>34</v>
      </c>
    </row>
    <row r="14" spans="1:4">
      <c r="A14" s="23">
        <v>1</v>
      </c>
      <c r="B14" s="23">
        <v>2</v>
      </c>
      <c r="C14" s="23">
        <v>3</v>
      </c>
      <c r="D14" s="23">
        <v>4</v>
      </c>
    </row>
    <row r="15" spans="1:4" s="7" customFormat="1">
      <c r="A15" s="23" t="s">
        <v>3</v>
      </c>
      <c r="B15" s="23" t="s">
        <v>4</v>
      </c>
      <c r="C15" s="24">
        <f>C16+C34</f>
        <v>1656451.3300000003</v>
      </c>
      <c r="D15" s="24">
        <f>C15</f>
        <v>1656451.3300000003</v>
      </c>
    </row>
    <row r="16" spans="1:4" s="6" customFormat="1" ht="24">
      <c r="A16" s="22" t="s">
        <v>18</v>
      </c>
      <c r="B16" s="23">
        <v>2000</v>
      </c>
      <c r="C16" s="24">
        <f>C17+C32</f>
        <v>1656451.3300000003</v>
      </c>
      <c r="D16" s="24">
        <f t="shared" ref="D16:D35" si="0">C16</f>
        <v>1656451.3300000003</v>
      </c>
    </row>
    <row r="17" spans="1:4" s="8" customFormat="1">
      <c r="A17" s="25" t="s">
        <v>5</v>
      </c>
      <c r="B17" s="23">
        <v>2200</v>
      </c>
      <c r="C17" s="24">
        <f>C18+C20+C21+C22+C26+C23+C25+C19+C24</f>
        <v>1652791.3300000003</v>
      </c>
      <c r="D17" s="24">
        <f t="shared" si="0"/>
        <v>1652791.3300000003</v>
      </c>
    </row>
    <row r="18" spans="1:4" s="9" customFormat="1">
      <c r="A18" s="26" t="s">
        <v>6</v>
      </c>
      <c r="B18" s="37">
        <v>2210</v>
      </c>
      <c r="C18" s="28">
        <f>5850+6545+1149.5+2784.43</f>
        <v>16328.93</v>
      </c>
      <c r="D18" s="28">
        <f t="shared" si="0"/>
        <v>16328.93</v>
      </c>
    </row>
    <row r="19" spans="1:4" s="9" customFormat="1" ht="24">
      <c r="A19" s="25" t="s">
        <v>61</v>
      </c>
      <c r="B19" s="23">
        <v>2210</v>
      </c>
      <c r="C19" s="36">
        <f>3950+7320</f>
        <v>11270</v>
      </c>
      <c r="D19" s="36">
        <f t="shared" si="0"/>
        <v>11270</v>
      </c>
    </row>
    <row r="20" spans="1:4" s="9" customFormat="1">
      <c r="A20" s="26" t="s">
        <v>36</v>
      </c>
      <c r="B20" s="27">
        <v>2210</v>
      </c>
      <c r="C20" s="28">
        <f>19992.2</f>
        <v>19992.2</v>
      </c>
      <c r="D20" s="28">
        <f t="shared" si="0"/>
        <v>19992.2</v>
      </c>
    </row>
    <row r="21" spans="1:4" s="9" customFormat="1">
      <c r="A21" s="25" t="s">
        <v>7</v>
      </c>
      <c r="B21" s="23">
        <v>2240</v>
      </c>
      <c r="C21" s="24">
        <f>450+4455+2059.2+2879.48+3366+2074.89</f>
        <v>15284.57</v>
      </c>
      <c r="D21" s="28">
        <f t="shared" si="0"/>
        <v>15284.57</v>
      </c>
    </row>
    <row r="22" spans="1:4" s="9" customFormat="1">
      <c r="A22" s="25" t="s">
        <v>37</v>
      </c>
      <c r="B22" s="23">
        <v>2240</v>
      </c>
      <c r="C22" s="24"/>
      <c r="D22" s="28">
        <f t="shared" si="0"/>
        <v>0</v>
      </c>
    </row>
    <row r="23" spans="1:4" s="9" customFormat="1">
      <c r="A23" s="25" t="s">
        <v>19</v>
      </c>
      <c r="B23" s="23">
        <v>2240</v>
      </c>
      <c r="C23" s="24">
        <f>14736.53+35160</f>
        <v>49896.53</v>
      </c>
      <c r="D23" s="28">
        <f t="shared" si="0"/>
        <v>49896.53</v>
      </c>
    </row>
    <row r="24" spans="1:4" s="9" customFormat="1" ht="24">
      <c r="A24" s="25" t="s">
        <v>61</v>
      </c>
      <c r="B24" s="23">
        <v>2240</v>
      </c>
      <c r="C24" s="24">
        <f>11157.08</f>
        <v>11157.08</v>
      </c>
      <c r="D24" s="24">
        <f t="shared" si="0"/>
        <v>11157.08</v>
      </c>
    </row>
    <row r="25" spans="1:4" s="9" customFormat="1">
      <c r="A25" s="25" t="s">
        <v>39</v>
      </c>
      <c r="B25" s="23">
        <v>2240</v>
      </c>
      <c r="C25" s="24">
        <f>2606.73+1235</f>
        <v>3841.73</v>
      </c>
      <c r="D25" s="28">
        <f t="shared" si="0"/>
        <v>3841.73</v>
      </c>
    </row>
    <row r="26" spans="1:4" s="9" customFormat="1">
      <c r="A26" s="25" t="s">
        <v>15</v>
      </c>
      <c r="B26" s="23">
        <v>2270</v>
      </c>
      <c r="C26" s="24">
        <f>SUM(C27:C31)</f>
        <v>1525020.2900000003</v>
      </c>
      <c r="D26" s="28">
        <f t="shared" si="0"/>
        <v>1525020.2900000003</v>
      </c>
    </row>
    <row r="27" spans="1:4">
      <c r="A27" s="29" t="s">
        <v>9</v>
      </c>
      <c r="B27" s="22">
        <v>2271</v>
      </c>
      <c r="C27" s="30">
        <f>874324.93+438388.43</f>
        <v>1312713.3600000001</v>
      </c>
      <c r="D27" s="30">
        <f t="shared" si="0"/>
        <v>1312713.3600000001</v>
      </c>
    </row>
    <row r="28" spans="1:4">
      <c r="A28" s="29" t="s">
        <v>10</v>
      </c>
      <c r="B28" s="22">
        <v>2272</v>
      </c>
      <c r="C28" s="30">
        <f>37871.28+3546.08</f>
        <v>41417.360000000001</v>
      </c>
      <c r="D28" s="30">
        <f t="shared" si="0"/>
        <v>41417.360000000001</v>
      </c>
    </row>
    <row r="29" spans="1:4">
      <c r="A29" s="29" t="s">
        <v>11</v>
      </c>
      <c r="B29" s="22">
        <v>2273</v>
      </c>
      <c r="C29" s="30">
        <f>143813.79+18715.26</f>
        <v>162529.05000000002</v>
      </c>
      <c r="D29" s="30">
        <f t="shared" si="0"/>
        <v>162529.05000000002</v>
      </c>
    </row>
    <row r="30" spans="1:4" hidden="1">
      <c r="A30" s="29" t="s">
        <v>12</v>
      </c>
      <c r="B30" s="22">
        <v>2274</v>
      </c>
      <c r="C30" s="30">
        <v>0</v>
      </c>
      <c r="D30" s="30">
        <f t="shared" si="0"/>
        <v>0</v>
      </c>
    </row>
    <row r="31" spans="1:4">
      <c r="A31" s="29" t="s">
        <v>8</v>
      </c>
      <c r="B31" s="22">
        <v>2275</v>
      </c>
      <c r="C31" s="31">
        <f>6049.2+2311.32</f>
        <v>8360.52</v>
      </c>
      <c r="D31" s="31">
        <f t="shared" si="0"/>
        <v>8360.52</v>
      </c>
    </row>
    <row r="32" spans="1:4" s="8" customFormat="1">
      <c r="A32" s="25" t="s">
        <v>13</v>
      </c>
      <c r="B32" s="23">
        <v>2700</v>
      </c>
      <c r="C32" s="24">
        <f>C33</f>
        <v>3660</v>
      </c>
      <c r="D32" s="24">
        <f t="shared" si="0"/>
        <v>3660</v>
      </c>
    </row>
    <row r="33" spans="1:4">
      <c r="A33" s="29" t="s">
        <v>32</v>
      </c>
      <c r="B33" s="22">
        <v>2730</v>
      </c>
      <c r="C33" s="30">
        <v>3660</v>
      </c>
      <c r="D33" s="30">
        <f t="shared" si="0"/>
        <v>3660</v>
      </c>
    </row>
    <row r="34" spans="1:4" s="6" customFormat="1">
      <c r="A34" s="23" t="s">
        <v>14</v>
      </c>
      <c r="B34" s="23">
        <v>3000</v>
      </c>
      <c r="C34" s="30">
        <f>C35</f>
        <v>0</v>
      </c>
      <c r="D34" s="30">
        <f t="shared" si="0"/>
        <v>0</v>
      </c>
    </row>
    <row r="35" spans="1:4">
      <c r="A35" s="29" t="s">
        <v>16</v>
      </c>
      <c r="B35" s="22">
        <v>3110</v>
      </c>
      <c r="C35" s="30"/>
      <c r="D35" s="30">
        <f t="shared" si="0"/>
        <v>0</v>
      </c>
    </row>
    <row r="36" spans="1:4" ht="18">
      <c r="A36" s="4"/>
      <c r="C36" s="14"/>
      <c r="D36" s="14"/>
    </row>
    <row r="37" spans="1:4" ht="15" customHeight="1">
      <c r="C37" s="14"/>
      <c r="D37" s="14"/>
    </row>
    <row r="38" spans="1:4" ht="15" customHeight="1">
      <c r="C38" s="14"/>
      <c r="D38" s="14"/>
    </row>
    <row r="43" spans="1:4" s="5" customFormat="1"/>
    <row r="44" spans="1:4" s="5" customFormat="1"/>
    <row r="45" spans="1:4" s="5" customFormat="1"/>
    <row r="81" s="5" customFormat="1"/>
    <row r="82" s="5" customFormat="1"/>
    <row r="83" s="5" customFormat="1"/>
    <row r="119" s="5" customFormat="1"/>
    <row r="120" s="5" customFormat="1"/>
    <row r="121" s="5" customFormat="1"/>
    <row r="157" s="5" customFormat="1"/>
    <row r="158" s="5" customFormat="1"/>
    <row r="159" s="5" customFormat="1"/>
    <row r="195" s="5" customFormat="1"/>
    <row r="196" s="5" customFormat="1"/>
    <row r="197" s="5" customFormat="1"/>
    <row r="233" s="5" customFormat="1"/>
    <row r="234" s="5" customFormat="1"/>
    <row r="235" s="5" customFormat="1"/>
    <row r="271" s="5" customFormat="1"/>
    <row r="272" s="5" customFormat="1"/>
    <row r="273" s="5" customFormat="1"/>
    <row r="309" s="5" customFormat="1"/>
    <row r="310" s="5" customFormat="1"/>
    <row r="311" s="5" customFormat="1"/>
    <row r="347" s="5" customFormat="1"/>
    <row r="348" s="5" customFormat="1"/>
    <row r="349" s="5" customFormat="1"/>
    <row r="385" s="5" customFormat="1"/>
    <row r="386" s="5" customFormat="1"/>
    <row r="387" s="5" customFormat="1"/>
    <row r="423" s="5" customFormat="1"/>
    <row r="424" s="5" customFormat="1"/>
    <row r="425" s="5" customFormat="1"/>
  </sheetData>
  <mergeCells count="5">
    <mergeCell ref="A1:D1"/>
    <mergeCell ref="A2:D2"/>
    <mergeCell ref="A3:D3"/>
    <mergeCell ref="B5:D5"/>
    <mergeCell ref="A12:D12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425"/>
  <sheetViews>
    <sheetView view="pageBreakPreview" zoomScaleNormal="80" zoomScaleSheetLayoutView="100" workbookViewId="0">
      <selection activeCell="I26" sqref="I26"/>
    </sheetView>
  </sheetViews>
  <sheetFormatPr defaultColWidth="14.42578125" defaultRowHeight="15" customHeight="1"/>
  <cols>
    <col min="1" max="1" width="57.85546875" style="11" customWidth="1"/>
    <col min="2" max="2" width="10.85546875" style="11" customWidth="1"/>
    <col min="3" max="4" width="17.42578125" style="11" customWidth="1"/>
    <col min="5" max="16384" width="14.42578125" style="11"/>
  </cols>
  <sheetData>
    <row r="1" spans="1:4">
      <c r="A1" s="42" t="s">
        <v>0</v>
      </c>
      <c r="B1" s="43"/>
      <c r="C1" s="43"/>
      <c r="D1" s="43"/>
    </row>
    <row r="2" spans="1:4">
      <c r="A2" s="41" t="s">
        <v>35</v>
      </c>
      <c r="B2" s="40"/>
      <c r="C2" s="40"/>
      <c r="D2" s="40"/>
    </row>
    <row r="3" spans="1:4">
      <c r="A3" s="41" t="s">
        <v>60</v>
      </c>
      <c r="B3" s="40"/>
      <c r="C3" s="40"/>
      <c r="D3" s="40"/>
    </row>
    <row r="4" spans="1:4">
      <c r="A4" s="1"/>
      <c r="B4" s="1"/>
      <c r="C4" s="2"/>
    </row>
    <row r="5" spans="1:4" ht="63.75" customHeight="1">
      <c r="A5" s="13" t="s">
        <v>23</v>
      </c>
      <c r="B5" s="44" t="s">
        <v>59</v>
      </c>
      <c r="C5" s="44"/>
      <c r="D5" s="44"/>
    </row>
    <row r="6" spans="1:4">
      <c r="A6" s="13" t="s">
        <v>24</v>
      </c>
      <c r="B6" s="12" t="s">
        <v>25</v>
      </c>
    </row>
    <row r="7" spans="1:4">
      <c r="A7" s="13" t="s">
        <v>26</v>
      </c>
      <c r="B7" s="12" t="s">
        <v>27</v>
      </c>
    </row>
    <row r="8" spans="1:4" ht="25.5">
      <c r="A8" s="1" t="s">
        <v>28</v>
      </c>
      <c r="B8" s="12" t="s">
        <v>29</v>
      </c>
    </row>
    <row r="9" spans="1:4" ht="38.25">
      <c r="A9" s="1" t="s">
        <v>30</v>
      </c>
      <c r="B9" s="12" t="s">
        <v>20</v>
      </c>
    </row>
    <row r="10" spans="1:4">
      <c r="A10" s="3" t="s">
        <v>21</v>
      </c>
    </row>
    <row r="11" spans="1:4">
      <c r="A11" s="3" t="s">
        <v>1</v>
      </c>
    </row>
    <row r="12" spans="1:4" ht="15.75">
      <c r="A12" s="45"/>
      <c r="B12" s="43"/>
      <c r="C12" s="43"/>
      <c r="D12" s="43"/>
    </row>
    <row r="13" spans="1:4" ht="36">
      <c r="A13" s="22" t="s">
        <v>2</v>
      </c>
      <c r="B13" s="22" t="s">
        <v>22</v>
      </c>
      <c r="C13" s="22" t="s">
        <v>33</v>
      </c>
      <c r="D13" s="22" t="s">
        <v>34</v>
      </c>
    </row>
    <row r="14" spans="1:4">
      <c r="A14" s="23">
        <v>1</v>
      </c>
      <c r="B14" s="23">
        <v>2</v>
      </c>
      <c r="C14" s="23">
        <v>3</v>
      </c>
      <c r="D14" s="23">
        <v>4</v>
      </c>
    </row>
    <row r="15" spans="1:4" s="7" customFormat="1">
      <c r="A15" s="23" t="s">
        <v>3</v>
      </c>
      <c r="B15" s="23" t="s">
        <v>4</v>
      </c>
      <c r="C15" s="24">
        <f>C16+C34</f>
        <v>1633175.55</v>
      </c>
      <c r="D15" s="24">
        <f>C15</f>
        <v>1633175.55</v>
      </c>
    </row>
    <row r="16" spans="1:4" s="6" customFormat="1" ht="24">
      <c r="A16" s="22" t="s">
        <v>18</v>
      </c>
      <c r="B16" s="23">
        <v>2000</v>
      </c>
      <c r="C16" s="24">
        <f>C17+C32</f>
        <v>1633175.55</v>
      </c>
      <c r="D16" s="24">
        <f t="shared" ref="D16:D35" si="0">C16</f>
        <v>1633175.55</v>
      </c>
    </row>
    <row r="17" spans="1:4" s="8" customFormat="1">
      <c r="A17" s="25" t="s">
        <v>5</v>
      </c>
      <c r="B17" s="23">
        <v>2200</v>
      </c>
      <c r="C17" s="24">
        <f>C18+C20+C21+C22+C26+C23+C25+C19+C24</f>
        <v>1633175.55</v>
      </c>
      <c r="D17" s="24">
        <f t="shared" si="0"/>
        <v>1633175.55</v>
      </c>
    </row>
    <row r="18" spans="1:4" s="9" customFormat="1">
      <c r="A18" s="26" t="s">
        <v>6</v>
      </c>
      <c r="B18" s="37">
        <v>2210</v>
      </c>
      <c r="C18" s="36">
        <f>6240+6415+1149.5+2784.43</f>
        <v>16588.93</v>
      </c>
      <c r="D18" s="36">
        <f t="shared" si="0"/>
        <v>16588.93</v>
      </c>
    </row>
    <row r="19" spans="1:4" s="9" customFormat="1" ht="24">
      <c r="A19" s="25" t="s">
        <v>61</v>
      </c>
      <c r="B19" s="23">
        <v>2210</v>
      </c>
      <c r="C19" s="36">
        <f>3950+99750+10520+9344+13168</f>
        <v>136732</v>
      </c>
      <c r="D19" s="36">
        <f t="shared" si="0"/>
        <v>136732</v>
      </c>
    </row>
    <row r="20" spans="1:4" s="9" customFormat="1">
      <c r="A20" s="26" t="s">
        <v>36</v>
      </c>
      <c r="B20" s="27">
        <v>2210</v>
      </c>
      <c r="C20" s="28">
        <f>5542.64</f>
        <v>5542.64</v>
      </c>
      <c r="D20" s="28">
        <f t="shared" si="0"/>
        <v>5542.64</v>
      </c>
    </row>
    <row r="21" spans="1:4" s="9" customFormat="1">
      <c r="A21" s="25" t="s">
        <v>7</v>
      </c>
      <c r="B21" s="23">
        <v>2240</v>
      </c>
      <c r="C21" s="24">
        <f>450+4455+1374.4+3193.66+2074.86</f>
        <v>11547.92</v>
      </c>
      <c r="D21" s="28">
        <f t="shared" si="0"/>
        <v>11547.92</v>
      </c>
    </row>
    <row r="22" spans="1:4" s="9" customFormat="1">
      <c r="A22" s="25" t="s">
        <v>37</v>
      </c>
      <c r="B22" s="23">
        <v>2240</v>
      </c>
      <c r="C22" s="24"/>
      <c r="D22" s="28">
        <f t="shared" si="0"/>
        <v>0</v>
      </c>
    </row>
    <row r="23" spans="1:4" s="9" customFormat="1">
      <c r="A23" s="25" t="s">
        <v>19</v>
      </c>
      <c r="B23" s="23">
        <v>2240</v>
      </c>
      <c r="C23" s="24"/>
      <c r="D23" s="28">
        <f t="shared" si="0"/>
        <v>0</v>
      </c>
    </row>
    <row r="24" spans="1:4" s="9" customFormat="1" ht="24">
      <c r="A24" s="25" t="s">
        <v>61</v>
      </c>
      <c r="B24" s="23">
        <v>2240</v>
      </c>
      <c r="C24" s="24">
        <f>30527.43</f>
        <v>30527.43</v>
      </c>
      <c r="D24" s="24">
        <f t="shared" si="0"/>
        <v>30527.43</v>
      </c>
    </row>
    <row r="25" spans="1:4" s="9" customFormat="1">
      <c r="A25" s="25" t="s">
        <v>39</v>
      </c>
      <c r="B25" s="23">
        <v>2240</v>
      </c>
      <c r="C25" s="24">
        <f>6154.6+975</f>
        <v>7129.6</v>
      </c>
      <c r="D25" s="28">
        <f t="shared" si="0"/>
        <v>7129.6</v>
      </c>
    </row>
    <row r="26" spans="1:4" s="9" customFormat="1">
      <c r="A26" s="25" t="s">
        <v>15</v>
      </c>
      <c r="B26" s="23">
        <v>2270</v>
      </c>
      <c r="C26" s="24">
        <f>SUM(C27:C31)</f>
        <v>1425107.03</v>
      </c>
      <c r="D26" s="28">
        <f t="shared" si="0"/>
        <v>1425107.03</v>
      </c>
    </row>
    <row r="27" spans="1:4">
      <c r="A27" s="29" t="s">
        <v>9</v>
      </c>
      <c r="B27" s="22">
        <v>2271</v>
      </c>
      <c r="C27" s="30">
        <f>810352.29+327279.07</f>
        <v>1137631.3600000001</v>
      </c>
      <c r="D27" s="28">
        <f t="shared" si="0"/>
        <v>1137631.3600000001</v>
      </c>
    </row>
    <row r="28" spans="1:4">
      <c r="A28" s="29" t="s">
        <v>10</v>
      </c>
      <c r="B28" s="22">
        <v>2272</v>
      </c>
      <c r="C28" s="30">
        <f>38858.78+5446.66</f>
        <v>44305.440000000002</v>
      </c>
      <c r="D28" s="28">
        <f t="shared" si="0"/>
        <v>44305.440000000002</v>
      </c>
    </row>
    <row r="29" spans="1:4">
      <c r="A29" s="29" t="s">
        <v>11</v>
      </c>
      <c r="B29" s="22">
        <v>2273</v>
      </c>
      <c r="C29" s="30">
        <f>201709.77+32563.96</f>
        <v>234273.72999999998</v>
      </c>
      <c r="D29" s="30">
        <f t="shared" si="0"/>
        <v>234273.72999999998</v>
      </c>
    </row>
    <row r="30" spans="1:4" hidden="1">
      <c r="A30" s="29" t="s">
        <v>12</v>
      </c>
      <c r="B30" s="22">
        <v>2274</v>
      </c>
      <c r="C30" s="30">
        <v>0</v>
      </c>
      <c r="D30" s="30">
        <f t="shared" si="0"/>
        <v>0</v>
      </c>
    </row>
    <row r="31" spans="1:4">
      <c r="A31" s="29" t="s">
        <v>8</v>
      </c>
      <c r="B31" s="22">
        <v>2275</v>
      </c>
      <c r="C31" s="31">
        <f>6189.88+2706.62</f>
        <v>8896.5</v>
      </c>
      <c r="D31" s="31">
        <f t="shared" si="0"/>
        <v>8896.5</v>
      </c>
    </row>
    <row r="32" spans="1:4" s="8" customFormat="1">
      <c r="A32" s="25" t="s">
        <v>13</v>
      </c>
      <c r="B32" s="23">
        <v>2700</v>
      </c>
      <c r="C32" s="30">
        <f>C33</f>
        <v>0</v>
      </c>
      <c r="D32" s="30">
        <f t="shared" si="0"/>
        <v>0</v>
      </c>
    </row>
    <row r="33" spans="1:4">
      <c r="A33" s="29" t="s">
        <v>32</v>
      </c>
      <c r="B33" s="22">
        <v>2730</v>
      </c>
      <c r="C33" s="30"/>
      <c r="D33" s="30">
        <f t="shared" si="0"/>
        <v>0</v>
      </c>
    </row>
    <row r="34" spans="1:4" s="6" customFormat="1">
      <c r="A34" s="23" t="s">
        <v>14</v>
      </c>
      <c r="B34" s="23">
        <v>3000</v>
      </c>
      <c r="C34" s="30">
        <f>C35</f>
        <v>0</v>
      </c>
      <c r="D34" s="30">
        <f t="shared" si="0"/>
        <v>0</v>
      </c>
    </row>
    <row r="35" spans="1:4">
      <c r="A35" s="29" t="s">
        <v>16</v>
      </c>
      <c r="B35" s="22">
        <v>3110</v>
      </c>
      <c r="C35" s="30"/>
      <c r="D35" s="30">
        <f t="shared" si="0"/>
        <v>0</v>
      </c>
    </row>
    <row r="36" spans="1:4" ht="18">
      <c r="A36" s="4"/>
      <c r="C36" s="14"/>
      <c r="D36" s="14"/>
    </row>
    <row r="37" spans="1:4" ht="15" customHeight="1">
      <c r="C37" s="14"/>
      <c r="D37" s="14"/>
    </row>
    <row r="43" spans="1:4" s="5" customFormat="1"/>
    <row r="44" spans="1:4" s="5" customFormat="1"/>
    <row r="45" spans="1:4" s="5" customFormat="1"/>
    <row r="81" s="5" customFormat="1"/>
    <row r="82" s="5" customFormat="1"/>
    <row r="83" s="5" customFormat="1"/>
    <row r="119" s="5" customFormat="1"/>
    <row r="120" s="5" customFormat="1"/>
    <row r="121" s="5" customFormat="1"/>
    <row r="157" s="5" customFormat="1"/>
    <row r="158" s="5" customFormat="1"/>
    <row r="159" s="5" customFormat="1"/>
    <row r="195" s="5" customFormat="1"/>
    <row r="196" s="5" customFormat="1"/>
    <row r="197" s="5" customFormat="1"/>
    <row r="233" s="5" customFormat="1"/>
    <row r="234" s="5" customFormat="1"/>
    <row r="235" s="5" customFormat="1"/>
    <row r="271" s="5" customFormat="1"/>
    <row r="272" s="5" customFormat="1"/>
    <row r="273" s="5" customFormat="1"/>
    <row r="309" s="5" customFormat="1"/>
    <row r="310" s="5" customFormat="1"/>
    <row r="311" s="5" customFormat="1"/>
    <row r="347" s="5" customFormat="1"/>
    <row r="348" s="5" customFormat="1"/>
    <row r="349" s="5" customFormat="1"/>
    <row r="385" s="5" customFormat="1"/>
    <row r="386" s="5" customFormat="1"/>
    <row r="387" s="5" customFormat="1"/>
    <row r="423" s="5" customFormat="1"/>
    <row r="424" s="5" customFormat="1"/>
    <row r="425" s="5" customFormat="1"/>
  </sheetData>
  <mergeCells count="5">
    <mergeCell ref="A1:D1"/>
    <mergeCell ref="A2:D2"/>
    <mergeCell ref="A3:D3"/>
    <mergeCell ref="B5:D5"/>
    <mergeCell ref="A12:D12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7"/>
  <sheetViews>
    <sheetView view="pageBreakPreview" zoomScaleNormal="80" zoomScaleSheetLayoutView="100" workbookViewId="0">
      <selection activeCell="E1" sqref="E1:G1048576"/>
    </sheetView>
  </sheetViews>
  <sheetFormatPr defaultColWidth="14.42578125" defaultRowHeight="15"/>
  <cols>
    <col min="1" max="1" width="57.85546875" style="10" customWidth="1"/>
    <col min="2" max="2" width="10.85546875" style="10" customWidth="1"/>
    <col min="3" max="4" width="17.42578125" style="10" customWidth="1"/>
    <col min="5" max="16384" width="14.42578125" style="10"/>
  </cols>
  <sheetData>
    <row r="1" spans="1:4">
      <c r="A1" s="41" t="s">
        <v>0</v>
      </c>
      <c r="B1" s="40"/>
      <c r="C1" s="40"/>
      <c r="D1" s="40"/>
    </row>
    <row r="2" spans="1:4">
      <c r="A2" s="41" t="s">
        <v>35</v>
      </c>
      <c r="B2" s="40"/>
      <c r="C2" s="40"/>
      <c r="D2" s="40"/>
    </row>
    <row r="3" spans="1:4">
      <c r="A3" s="41" t="s">
        <v>60</v>
      </c>
      <c r="B3" s="40"/>
      <c r="C3" s="40"/>
      <c r="D3" s="40"/>
    </row>
    <row r="4" spans="1:4">
      <c r="A4" s="15"/>
      <c r="B4" s="15"/>
      <c r="C4" s="16"/>
    </row>
    <row r="5" spans="1:4" ht="52.5" customHeight="1">
      <c r="A5" s="17" t="s">
        <v>23</v>
      </c>
      <c r="B5" s="38" t="s">
        <v>42</v>
      </c>
      <c r="C5" s="38"/>
      <c r="D5" s="38"/>
    </row>
    <row r="6" spans="1:4">
      <c r="A6" s="17" t="s">
        <v>24</v>
      </c>
      <c r="B6" s="18" t="s">
        <v>25</v>
      </c>
    </row>
    <row r="7" spans="1:4">
      <c r="A7" s="17" t="s">
        <v>26</v>
      </c>
      <c r="B7" s="18" t="s">
        <v>27</v>
      </c>
    </row>
    <row r="8" spans="1:4" ht="25.5">
      <c r="A8" s="15" t="s">
        <v>28</v>
      </c>
      <c r="B8" s="18" t="s">
        <v>29</v>
      </c>
    </row>
    <row r="9" spans="1:4" ht="38.25">
      <c r="A9" s="15" t="s">
        <v>30</v>
      </c>
      <c r="B9" s="18" t="s">
        <v>20</v>
      </c>
    </row>
    <row r="10" spans="1:4">
      <c r="A10" s="19" t="s">
        <v>21</v>
      </c>
    </row>
    <row r="11" spans="1:4">
      <c r="A11" s="19" t="s">
        <v>1</v>
      </c>
    </row>
    <row r="12" spans="1:4" ht="15.75">
      <c r="A12" s="39"/>
      <c r="B12" s="40"/>
      <c r="C12" s="40"/>
      <c r="D12" s="40"/>
    </row>
    <row r="13" spans="1:4" ht="36">
      <c r="A13" s="22" t="s">
        <v>2</v>
      </c>
      <c r="B13" s="22" t="s">
        <v>22</v>
      </c>
      <c r="C13" s="22" t="s">
        <v>33</v>
      </c>
      <c r="D13" s="22" t="s">
        <v>34</v>
      </c>
    </row>
    <row r="14" spans="1:4">
      <c r="A14" s="23">
        <v>1</v>
      </c>
      <c r="B14" s="23">
        <v>2</v>
      </c>
      <c r="C14" s="23">
        <v>3</v>
      </c>
      <c r="D14" s="23">
        <v>4</v>
      </c>
    </row>
    <row r="15" spans="1:4">
      <c r="A15" s="23" t="s">
        <v>3</v>
      </c>
      <c r="B15" s="23" t="s">
        <v>4</v>
      </c>
      <c r="C15" s="24">
        <f>C16+C34</f>
        <v>645560.13000000012</v>
      </c>
      <c r="D15" s="24">
        <f>C15</f>
        <v>645560.13000000012</v>
      </c>
    </row>
    <row r="16" spans="1:4" ht="24">
      <c r="A16" s="22" t="s">
        <v>18</v>
      </c>
      <c r="B16" s="23">
        <v>2000</v>
      </c>
      <c r="C16" s="24">
        <f>C17+C32</f>
        <v>645560.13000000012</v>
      </c>
      <c r="D16" s="24">
        <f t="shared" ref="D16:D35" si="0">C16</f>
        <v>645560.13000000012</v>
      </c>
    </row>
    <row r="17" spans="1:4">
      <c r="A17" s="25" t="s">
        <v>5</v>
      </c>
      <c r="B17" s="23">
        <v>2200</v>
      </c>
      <c r="C17" s="24">
        <f>C18+C20+C21+C22+C26+C23+C25+C19+C24</f>
        <v>645560.13000000012</v>
      </c>
      <c r="D17" s="24">
        <f t="shared" si="0"/>
        <v>645560.13000000012</v>
      </c>
    </row>
    <row r="18" spans="1:4">
      <c r="A18" s="26" t="s">
        <v>6</v>
      </c>
      <c r="B18" s="37">
        <v>2210</v>
      </c>
      <c r="C18" s="36">
        <f>1560+3295+1149.5+2784.43</f>
        <v>8788.93</v>
      </c>
      <c r="D18" s="36">
        <f t="shared" si="0"/>
        <v>8788.93</v>
      </c>
    </row>
    <row r="19" spans="1:4" s="34" customFormat="1" ht="24">
      <c r="A19" s="25" t="s">
        <v>61</v>
      </c>
      <c r="B19" s="23">
        <v>2210</v>
      </c>
      <c r="C19" s="36">
        <f>3950</f>
        <v>3950</v>
      </c>
      <c r="D19" s="36">
        <f t="shared" si="0"/>
        <v>3950</v>
      </c>
    </row>
    <row r="20" spans="1:4">
      <c r="A20" s="26" t="s">
        <v>36</v>
      </c>
      <c r="B20" s="27">
        <v>2210</v>
      </c>
      <c r="C20" s="28">
        <f>9938.38+24996.4</f>
        <v>34934.78</v>
      </c>
      <c r="D20" s="28">
        <f t="shared" si="0"/>
        <v>34934.78</v>
      </c>
    </row>
    <row r="21" spans="1:4">
      <c r="A21" s="25" t="s">
        <v>7</v>
      </c>
      <c r="B21" s="23">
        <v>2240</v>
      </c>
      <c r="C21" s="24">
        <f>200+4455+1754.96+1020.98+6000+2074.89</f>
        <v>15505.83</v>
      </c>
      <c r="D21" s="28">
        <f t="shared" si="0"/>
        <v>15505.83</v>
      </c>
    </row>
    <row r="22" spans="1:4">
      <c r="A22" s="25" t="s">
        <v>37</v>
      </c>
      <c r="B22" s="23">
        <v>2240</v>
      </c>
      <c r="C22" s="24"/>
      <c r="D22" s="28">
        <f t="shared" si="0"/>
        <v>0</v>
      </c>
    </row>
    <row r="23" spans="1:4">
      <c r="A23" s="25" t="s">
        <v>19</v>
      </c>
      <c r="B23" s="23">
        <v>2240</v>
      </c>
      <c r="C23" s="24"/>
      <c r="D23" s="28">
        <f t="shared" si="0"/>
        <v>0</v>
      </c>
    </row>
    <row r="24" spans="1:4" s="34" customFormat="1" ht="24">
      <c r="A24" s="25" t="s">
        <v>61</v>
      </c>
      <c r="B24" s="23">
        <v>2240</v>
      </c>
      <c r="C24" s="24"/>
      <c r="D24" s="24">
        <f t="shared" si="0"/>
        <v>0</v>
      </c>
    </row>
    <row r="25" spans="1:4">
      <c r="A25" s="25" t="s">
        <v>39</v>
      </c>
      <c r="B25" s="23">
        <v>2240</v>
      </c>
      <c r="C25" s="24">
        <f>3547.41+682.5</f>
        <v>4229.91</v>
      </c>
      <c r="D25" s="28">
        <f t="shared" si="0"/>
        <v>4229.91</v>
      </c>
    </row>
    <row r="26" spans="1:4">
      <c r="A26" s="25" t="s">
        <v>15</v>
      </c>
      <c r="B26" s="23">
        <v>2270</v>
      </c>
      <c r="C26" s="24">
        <f>SUM(C27:C31)</f>
        <v>578150.68000000005</v>
      </c>
      <c r="D26" s="24">
        <f t="shared" si="0"/>
        <v>578150.68000000005</v>
      </c>
    </row>
    <row r="27" spans="1:4">
      <c r="A27" s="29" t="s">
        <v>9</v>
      </c>
      <c r="B27" s="22">
        <v>2271</v>
      </c>
      <c r="C27" s="30">
        <f>388967.41+78629.09</f>
        <v>467596.5</v>
      </c>
      <c r="D27" s="30">
        <f t="shared" si="0"/>
        <v>467596.5</v>
      </c>
    </row>
    <row r="28" spans="1:4">
      <c r="A28" s="29" t="s">
        <v>10</v>
      </c>
      <c r="B28" s="22">
        <v>2272</v>
      </c>
      <c r="C28" s="30">
        <f>13362.58+1815.55</f>
        <v>15178.13</v>
      </c>
      <c r="D28" s="30">
        <f t="shared" si="0"/>
        <v>15178.13</v>
      </c>
    </row>
    <row r="29" spans="1:4">
      <c r="A29" s="29" t="s">
        <v>11</v>
      </c>
      <c r="B29" s="22">
        <v>2273</v>
      </c>
      <c r="C29" s="30">
        <f>69464.28+21322.84</f>
        <v>90787.12</v>
      </c>
      <c r="D29" s="30">
        <f t="shared" si="0"/>
        <v>90787.12</v>
      </c>
    </row>
    <row r="30" spans="1:4" hidden="1">
      <c r="A30" s="29" t="s">
        <v>12</v>
      </c>
      <c r="B30" s="22">
        <v>2274</v>
      </c>
      <c r="C30" s="30">
        <v>0</v>
      </c>
      <c r="D30" s="30">
        <f t="shared" si="0"/>
        <v>0</v>
      </c>
    </row>
    <row r="31" spans="1:4">
      <c r="A31" s="29" t="s">
        <v>8</v>
      </c>
      <c r="B31" s="22">
        <v>2275</v>
      </c>
      <c r="C31" s="31">
        <f>3376.3+1212.63</f>
        <v>4588.93</v>
      </c>
      <c r="D31" s="31">
        <f t="shared" si="0"/>
        <v>4588.93</v>
      </c>
    </row>
    <row r="32" spans="1:4">
      <c r="A32" s="25" t="s">
        <v>13</v>
      </c>
      <c r="B32" s="23">
        <v>2700</v>
      </c>
      <c r="C32" s="30">
        <v>0</v>
      </c>
      <c r="D32" s="30">
        <f t="shared" si="0"/>
        <v>0</v>
      </c>
    </row>
    <row r="33" spans="1:4">
      <c r="A33" s="29" t="s">
        <v>32</v>
      </c>
      <c r="B33" s="22">
        <v>2730</v>
      </c>
      <c r="C33" s="30"/>
      <c r="D33" s="30">
        <f t="shared" si="0"/>
        <v>0</v>
      </c>
    </row>
    <row r="34" spans="1:4">
      <c r="A34" s="23" t="s">
        <v>14</v>
      </c>
      <c r="B34" s="23">
        <v>3000</v>
      </c>
      <c r="C34" s="30">
        <v>0</v>
      </c>
      <c r="D34" s="30">
        <f t="shared" si="0"/>
        <v>0</v>
      </c>
    </row>
    <row r="35" spans="1:4">
      <c r="A35" s="29" t="s">
        <v>16</v>
      </c>
      <c r="B35" s="22">
        <v>3110</v>
      </c>
      <c r="C35" s="30"/>
      <c r="D35" s="30">
        <f t="shared" si="0"/>
        <v>0</v>
      </c>
    </row>
    <row r="36" spans="1:4" ht="18">
      <c r="A36" s="21"/>
      <c r="C36" s="20"/>
      <c r="D36" s="20"/>
    </row>
    <row r="37" spans="1:4">
      <c r="C37" s="20"/>
      <c r="D37" s="20"/>
    </row>
  </sheetData>
  <mergeCells count="5">
    <mergeCell ref="A1:D1"/>
    <mergeCell ref="A2:D2"/>
    <mergeCell ref="A3:D3"/>
    <mergeCell ref="B5:D5"/>
    <mergeCell ref="A12:D12"/>
  </mergeCells>
  <pageMargins left="0.70866141732283472" right="0.70866141732283472" top="0.35433070866141736" bottom="0.35433070866141736" header="0" footer="0"/>
  <pageSetup paperSize="9" scale="79" fitToHeight="1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6"/>
  <sheetViews>
    <sheetView view="pageBreakPreview" zoomScaleNormal="60" zoomScaleSheetLayoutView="100" workbookViewId="0">
      <selection activeCell="E1" sqref="E1:G1048576"/>
    </sheetView>
  </sheetViews>
  <sheetFormatPr defaultColWidth="14.42578125" defaultRowHeight="15" customHeight="1"/>
  <cols>
    <col min="1" max="1" width="57.85546875" style="10" customWidth="1"/>
    <col min="2" max="2" width="10.85546875" style="10" customWidth="1"/>
    <col min="3" max="4" width="17.42578125" style="10" customWidth="1"/>
    <col min="5" max="16384" width="14.42578125" style="10"/>
  </cols>
  <sheetData>
    <row r="1" spans="1:4">
      <c r="A1" s="41" t="s">
        <v>0</v>
      </c>
      <c r="B1" s="40"/>
      <c r="C1" s="40"/>
      <c r="D1" s="40"/>
    </row>
    <row r="2" spans="1:4">
      <c r="A2" s="41" t="s">
        <v>35</v>
      </c>
      <c r="B2" s="40"/>
      <c r="C2" s="40"/>
      <c r="D2" s="40"/>
    </row>
    <row r="3" spans="1:4">
      <c r="A3" s="41" t="s">
        <v>60</v>
      </c>
      <c r="B3" s="40"/>
      <c r="C3" s="40"/>
      <c r="D3" s="40"/>
    </row>
    <row r="4" spans="1:4">
      <c r="A4" s="15"/>
      <c r="B4" s="15"/>
      <c r="C4" s="16"/>
    </row>
    <row r="5" spans="1:4" ht="52.5" customHeight="1">
      <c r="A5" s="17" t="s">
        <v>23</v>
      </c>
      <c r="B5" s="38" t="s">
        <v>43</v>
      </c>
      <c r="C5" s="38"/>
      <c r="D5" s="38"/>
    </row>
    <row r="6" spans="1:4">
      <c r="A6" s="17" t="s">
        <v>24</v>
      </c>
      <c r="B6" s="18" t="s">
        <v>25</v>
      </c>
    </row>
    <row r="7" spans="1:4">
      <c r="A7" s="17" t="s">
        <v>26</v>
      </c>
      <c r="B7" s="18" t="s">
        <v>27</v>
      </c>
    </row>
    <row r="8" spans="1:4" ht="25.5">
      <c r="A8" s="15" t="s">
        <v>28</v>
      </c>
      <c r="B8" s="18" t="s">
        <v>29</v>
      </c>
    </row>
    <row r="9" spans="1:4" ht="38.25">
      <c r="A9" s="15" t="s">
        <v>30</v>
      </c>
      <c r="B9" s="18" t="s">
        <v>20</v>
      </c>
    </row>
    <row r="10" spans="1:4">
      <c r="A10" s="19" t="s">
        <v>21</v>
      </c>
    </row>
    <row r="11" spans="1:4">
      <c r="A11" s="19" t="s">
        <v>1</v>
      </c>
    </row>
    <row r="12" spans="1:4" ht="15.75">
      <c r="A12" s="39"/>
      <c r="B12" s="40"/>
      <c r="C12" s="40"/>
      <c r="D12" s="40"/>
    </row>
    <row r="13" spans="1:4" ht="36">
      <c r="A13" s="22" t="s">
        <v>2</v>
      </c>
      <c r="B13" s="22" t="s">
        <v>22</v>
      </c>
      <c r="C13" s="22" t="s">
        <v>33</v>
      </c>
      <c r="D13" s="22" t="s">
        <v>34</v>
      </c>
    </row>
    <row r="14" spans="1:4">
      <c r="A14" s="23">
        <v>1</v>
      </c>
      <c r="B14" s="23">
        <v>2</v>
      </c>
      <c r="C14" s="23">
        <v>3</v>
      </c>
      <c r="D14" s="23">
        <v>4</v>
      </c>
    </row>
    <row r="15" spans="1:4">
      <c r="A15" s="23" t="s">
        <v>3</v>
      </c>
      <c r="B15" s="23" t="s">
        <v>4</v>
      </c>
      <c r="C15" s="24">
        <f>C16+C34</f>
        <v>1718056.5599999998</v>
      </c>
      <c r="D15" s="24">
        <f>C15</f>
        <v>1718056.5599999998</v>
      </c>
    </row>
    <row r="16" spans="1:4" ht="24">
      <c r="A16" s="22" t="s">
        <v>18</v>
      </c>
      <c r="B16" s="23">
        <v>2000</v>
      </c>
      <c r="C16" s="24">
        <f>C17+C32</f>
        <v>1718056.5599999998</v>
      </c>
      <c r="D16" s="24">
        <f t="shared" ref="D16:D35" si="0">C16</f>
        <v>1718056.5599999998</v>
      </c>
    </row>
    <row r="17" spans="1:7">
      <c r="A17" s="25" t="s">
        <v>5</v>
      </c>
      <c r="B17" s="23">
        <v>2200</v>
      </c>
      <c r="C17" s="24">
        <f>C18+C20+C21+C22+C26+C23+C25+C19+C24</f>
        <v>1718056.5599999998</v>
      </c>
      <c r="D17" s="24">
        <f t="shared" si="0"/>
        <v>1718056.5599999998</v>
      </c>
    </row>
    <row r="18" spans="1:7">
      <c r="A18" s="26" t="s">
        <v>6</v>
      </c>
      <c r="B18" s="37">
        <v>2210</v>
      </c>
      <c r="C18" s="28">
        <f>5850+5925+1149.5+2784.43</f>
        <v>15708.93</v>
      </c>
      <c r="D18" s="28">
        <f t="shared" si="0"/>
        <v>15708.93</v>
      </c>
    </row>
    <row r="19" spans="1:7" s="34" customFormat="1" ht="24">
      <c r="A19" s="25" t="s">
        <v>61</v>
      </c>
      <c r="B19" s="23">
        <v>2210</v>
      </c>
      <c r="C19" s="36">
        <f>7900+7320</f>
        <v>15220</v>
      </c>
      <c r="D19" s="36">
        <f t="shared" si="0"/>
        <v>15220</v>
      </c>
    </row>
    <row r="20" spans="1:7">
      <c r="A20" s="26" t="s">
        <v>36</v>
      </c>
      <c r="B20" s="27">
        <v>2210</v>
      </c>
      <c r="C20" s="28">
        <f>40098+17000</f>
        <v>57098</v>
      </c>
      <c r="D20" s="28">
        <f t="shared" si="0"/>
        <v>57098</v>
      </c>
    </row>
    <row r="21" spans="1:7">
      <c r="A21" s="25" t="s">
        <v>7</v>
      </c>
      <c r="B21" s="23">
        <v>2240</v>
      </c>
      <c r="C21" s="24">
        <f>450+4455+2059.2+3617.48+8415+7000+2074.89</f>
        <v>28071.57</v>
      </c>
      <c r="D21" s="28">
        <f t="shared" si="0"/>
        <v>28071.57</v>
      </c>
    </row>
    <row r="22" spans="1:7">
      <c r="A22" s="25" t="s">
        <v>37</v>
      </c>
      <c r="B22" s="23">
        <v>2240</v>
      </c>
      <c r="C22" s="24">
        <f>49000+14834+30000</f>
        <v>93834</v>
      </c>
      <c r="D22" s="28">
        <f t="shared" si="0"/>
        <v>93834</v>
      </c>
    </row>
    <row r="23" spans="1:7">
      <c r="A23" s="25" t="s">
        <v>19</v>
      </c>
      <c r="B23" s="23">
        <v>2240</v>
      </c>
      <c r="C23" s="24">
        <f>49900</f>
        <v>49900</v>
      </c>
      <c r="D23" s="28">
        <f t="shared" si="0"/>
        <v>49900</v>
      </c>
    </row>
    <row r="24" spans="1:7" s="34" customFormat="1" ht="24">
      <c r="A24" s="25" t="s">
        <v>61</v>
      </c>
      <c r="B24" s="23">
        <v>2240</v>
      </c>
      <c r="C24" s="24">
        <f>33152.59</f>
        <v>33152.589999999997</v>
      </c>
      <c r="D24" s="24">
        <f t="shared" si="0"/>
        <v>33152.589999999997</v>
      </c>
    </row>
    <row r="25" spans="1:7">
      <c r="A25" s="25" t="s">
        <v>39</v>
      </c>
      <c r="B25" s="23">
        <v>2240</v>
      </c>
      <c r="C25" s="24">
        <f>5005.64+1114.3</f>
        <v>6119.9400000000005</v>
      </c>
      <c r="D25" s="28">
        <f t="shared" si="0"/>
        <v>6119.9400000000005</v>
      </c>
    </row>
    <row r="26" spans="1:7">
      <c r="A26" s="25" t="s">
        <v>15</v>
      </c>
      <c r="B26" s="23">
        <v>2270</v>
      </c>
      <c r="C26" s="24">
        <f>SUM(C27:C31)</f>
        <v>1418951.5299999998</v>
      </c>
      <c r="D26" s="24">
        <f t="shared" si="0"/>
        <v>1418951.5299999998</v>
      </c>
    </row>
    <row r="27" spans="1:7">
      <c r="A27" s="29" t="s">
        <v>9</v>
      </c>
      <c r="B27" s="22">
        <v>2271</v>
      </c>
      <c r="C27" s="30">
        <f>666006.45+457718.28</f>
        <v>1123724.73</v>
      </c>
      <c r="D27" s="30">
        <f t="shared" si="0"/>
        <v>1123724.73</v>
      </c>
    </row>
    <row r="28" spans="1:7">
      <c r="A28" s="29" t="s">
        <v>10</v>
      </c>
      <c r="B28" s="22">
        <v>2272</v>
      </c>
      <c r="C28" s="30">
        <f>6206.59+1294.37</f>
        <v>7500.96</v>
      </c>
      <c r="D28" s="30">
        <f t="shared" si="0"/>
        <v>7500.96</v>
      </c>
    </row>
    <row r="29" spans="1:7">
      <c r="A29" s="29" t="s">
        <v>11</v>
      </c>
      <c r="B29" s="22">
        <v>2273</v>
      </c>
      <c r="C29" s="30">
        <f>214087.57+68486.63</f>
        <v>282574.2</v>
      </c>
      <c r="D29" s="30">
        <f t="shared" si="0"/>
        <v>282574.2</v>
      </c>
    </row>
    <row r="30" spans="1:7" hidden="1">
      <c r="A30" s="29" t="s">
        <v>12</v>
      </c>
      <c r="B30" s="22">
        <v>2274</v>
      </c>
      <c r="C30" s="30">
        <v>0</v>
      </c>
      <c r="D30" s="30">
        <f t="shared" si="0"/>
        <v>0</v>
      </c>
      <c r="G30" s="32" t="s">
        <v>40</v>
      </c>
    </row>
    <row r="31" spans="1:7">
      <c r="A31" s="29" t="s">
        <v>8</v>
      </c>
      <c r="B31" s="22">
        <v>2275</v>
      </c>
      <c r="C31" s="31">
        <f>4079.69+1071.95</f>
        <v>5151.6400000000003</v>
      </c>
      <c r="D31" s="31">
        <f t="shared" si="0"/>
        <v>5151.6400000000003</v>
      </c>
    </row>
    <row r="32" spans="1:7">
      <c r="A32" s="25" t="s">
        <v>13</v>
      </c>
      <c r="B32" s="23">
        <v>2700</v>
      </c>
      <c r="C32" s="30">
        <v>0</v>
      </c>
      <c r="D32" s="30">
        <f t="shared" si="0"/>
        <v>0</v>
      </c>
    </row>
    <row r="33" spans="1:4">
      <c r="A33" s="29" t="s">
        <v>32</v>
      </c>
      <c r="B33" s="22">
        <v>2730</v>
      </c>
      <c r="C33" s="30"/>
      <c r="D33" s="30">
        <f t="shared" si="0"/>
        <v>0</v>
      </c>
    </row>
    <row r="34" spans="1:4">
      <c r="A34" s="23" t="s">
        <v>14</v>
      </c>
      <c r="B34" s="23">
        <v>3000</v>
      </c>
      <c r="C34" s="30">
        <f>C35</f>
        <v>0</v>
      </c>
      <c r="D34" s="30">
        <f t="shared" si="0"/>
        <v>0</v>
      </c>
    </row>
    <row r="35" spans="1:4" ht="24">
      <c r="A35" s="29" t="s">
        <v>38</v>
      </c>
      <c r="B35" s="22">
        <v>3110</v>
      </c>
      <c r="C35" s="30"/>
      <c r="D35" s="30">
        <f t="shared" si="0"/>
        <v>0</v>
      </c>
    </row>
    <row r="36" spans="1:4" ht="18">
      <c r="A36" s="21"/>
    </row>
  </sheetData>
  <mergeCells count="5">
    <mergeCell ref="A1:D1"/>
    <mergeCell ref="A2:D2"/>
    <mergeCell ref="A3:D3"/>
    <mergeCell ref="B5:D5"/>
    <mergeCell ref="A12:D12"/>
  </mergeCells>
  <pageMargins left="0.70866141732283472" right="0.70866141732283472" top="0.55118110236220474" bottom="0.35433070866141736" header="0" footer="0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99"/>
  <sheetViews>
    <sheetView view="pageBreakPreview" zoomScaleNormal="70" zoomScaleSheetLayoutView="100" workbookViewId="0">
      <selection activeCell="E1" sqref="E1:G1048576"/>
    </sheetView>
  </sheetViews>
  <sheetFormatPr defaultColWidth="14.42578125" defaultRowHeight="15"/>
  <cols>
    <col min="1" max="1" width="57.85546875" style="10" customWidth="1"/>
    <col min="2" max="2" width="10.85546875" style="10" customWidth="1"/>
    <col min="3" max="4" width="17.42578125" style="10" customWidth="1"/>
    <col min="5" max="16384" width="14.42578125" style="10"/>
  </cols>
  <sheetData>
    <row r="1" spans="1:4">
      <c r="A1" s="41" t="s">
        <v>0</v>
      </c>
      <c r="B1" s="40"/>
      <c r="C1" s="40"/>
      <c r="D1" s="40"/>
    </row>
    <row r="2" spans="1:4">
      <c r="A2" s="41" t="s">
        <v>35</v>
      </c>
      <c r="B2" s="40"/>
      <c r="C2" s="40"/>
      <c r="D2" s="40"/>
    </row>
    <row r="3" spans="1:4">
      <c r="A3" s="41" t="s">
        <v>60</v>
      </c>
      <c r="B3" s="40"/>
      <c r="C3" s="40"/>
      <c r="D3" s="40"/>
    </row>
    <row r="4" spans="1:4">
      <c r="A4" s="15"/>
      <c r="B4" s="15"/>
      <c r="C4" s="16"/>
    </row>
    <row r="5" spans="1:4" ht="52.5" customHeight="1">
      <c r="A5" s="17" t="s">
        <v>23</v>
      </c>
      <c r="B5" s="38" t="s">
        <v>44</v>
      </c>
      <c r="C5" s="38"/>
      <c r="D5" s="38"/>
    </row>
    <row r="6" spans="1:4">
      <c r="A6" s="17" t="s">
        <v>24</v>
      </c>
      <c r="B6" s="18" t="s">
        <v>25</v>
      </c>
    </row>
    <row r="7" spans="1:4">
      <c r="A7" s="17" t="s">
        <v>26</v>
      </c>
      <c r="B7" s="18" t="s">
        <v>27</v>
      </c>
    </row>
    <row r="8" spans="1:4" ht="25.5">
      <c r="A8" s="15" t="s">
        <v>28</v>
      </c>
      <c r="B8" s="18" t="s">
        <v>29</v>
      </c>
    </row>
    <row r="9" spans="1:4" ht="38.25">
      <c r="A9" s="15" t="s">
        <v>30</v>
      </c>
      <c r="B9" s="18" t="s">
        <v>20</v>
      </c>
    </row>
    <row r="10" spans="1:4">
      <c r="A10" s="19" t="s">
        <v>21</v>
      </c>
    </row>
    <row r="11" spans="1:4">
      <c r="A11" s="19" t="s">
        <v>1</v>
      </c>
    </row>
    <row r="12" spans="1:4" ht="15.75">
      <c r="A12" s="39"/>
      <c r="B12" s="40"/>
      <c r="C12" s="40"/>
      <c r="D12" s="40"/>
    </row>
    <row r="13" spans="1:4" ht="36">
      <c r="A13" s="22" t="s">
        <v>2</v>
      </c>
      <c r="B13" s="22" t="s">
        <v>22</v>
      </c>
      <c r="C13" s="22" t="s">
        <v>33</v>
      </c>
      <c r="D13" s="22" t="s">
        <v>34</v>
      </c>
    </row>
    <row r="14" spans="1:4">
      <c r="A14" s="23">
        <v>1</v>
      </c>
      <c r="B14" s="23">
        <v>2</v>
      </c>
      <c r="C14" s="23">
        <v>3</v>
      </c>
      <c r="D14" s="23">
        <v>4</v>
      </c>
    </row>
    <row r="15" spans="1:4">
      <c r="A15" s="23" t="s">
        <v>3</v>
      </c>
      <c r="B15" s="23" t="s">
        <v>4</v>
      </c>
      <c r="C15" s="24">
        <f>C16+C34</f>
        <v>620335.53999999992</v>
      </c>
      <c r="D15" s="24">
        <f>C15</f>
        <v>620335.53999999992</v>
      </c>
    </row>
    <row r="16" spans="1:4" ht="24">
      <c r="A16" s="22" t="s">
        <v>18</v>
      </c>
      <c r="B16" s="23">
        <v>2000</v>
      </c>
      <c r="C16" s="24">
        <f>C17+C32</f>
        <v>620335.53999999992</v>
      </c>
      <c r="D16" s="24">
        <f t="shared" ref="D16:D35" si="0">C16</f>
        <v>620335.53999999992</v>
      </c>
    </row>
    <row r="17" spans="1:4">
      <c r="A17" s="25" t="s">
        <v>5</v>
      </c>
      <c r="B17" s="23">
        <v>2200</v>
      </c>
      <c r="C17" s="24">
        <f>C18+C20+C21+C22+C26+C23+C25+C19+C24</f>
        <v>620335.53999999992</v>
      </c>
      <c r="D17" s="24">
        <f t="shared" si="0"/>
        <v>620335.53999999992</v>
      </c>
    </row>
    <row r="18" spans="1:4">
      <c r="A18" s="26" t="s">
        <v>6</v>
      </c>
      <c r="B18" s="37">
        <v>2210</v>
      </c>
      <c r="C18" s="28">
        <f>3120+3865+1149.5+2784.43</f>
        <v>10918.93</v>
      </c>
      <c r="D18" s="28">
        <f t="shared" si="0"/>
        <v>10918.93</v>
      </c>
    </row>
    <row r="19" spans="1:4" s="34" customFormat="1" ht="24">
      <c r="A19" s="25" t="s">
        <v>61</v>
      </c>
      <c r="B19" s="23">
        <v>2210</v>
      </c>
      <c r="C19" s="36">
        <f>3950+9250+7320</f>
        <v>20520</v>
      </c>
      <c r="D19" s="36">
        <f t="shared" si="0"/>
        <v>20520</v>
      </c>
    </row>
    <row r="20" spans="1:4">
      <c r="A20" s="26" t="s">
        <v>36</v>
      </c>
      <c r="B20" s="27">
        <v>2210</v>
      </c>
      <c r="C20" s="28">
        <f>19993.56</f>
        <v>19993.560000000001</v>
      </c>
      <c r="D20" s="28">
        <f t="shared" si="0"/>
        <v>19993.560000000001</v>
      </c>
    </row>
    <row r="21" spans="1:4">
      <c r="A21" s="25" t="s">
        <v>7</v>
      </c>
      <c r="B21" s="23">
        <v>2240</v>
      </c>
      <c r="C21" s="24">
        <f>350+4455+2475.04+1115.48+6000+16600+2074.89</f>
        <v>33070.410000000003</v>
      </c>
      <c r="D21" s="28">
        <f t="shared" si="0"/>
        <v>33070.410000000003</v>
      </c>
    </row>
    <row r="22" spans="1:4">
      <c r="A22" s="25" t="s">
        <v>37</v>
      </c>
      <c r="B22" s="23">
        <v>2240</v>
      </c>
      <c r="C22" s="24"/>
      <c r="D22" s="28">
        <f t="shared" si="0"/>
        <v>0</v>
      </c>
    </row>
    <row r="23" spans="1:4">
      <c r="A23" s="25" t="s">
        <v>19</v>
      </c>
      <c r="B23" s="23">
        <v>2240</v>
      </c>
      <c r="C23" s="24">
        <f>5358.47</f>
        <v>5358.47</v>
      </c>
      <c r="D23" s="28">
        <f t="shared" si="0"/>
        <v>5358.47</v>
      </c>
    </row>
    <row r="24" spans="1:4" s="34" customFormat="1" ht="24">
      <c r="A24" s="25" t="s">
        <v>61</v>
      </c>
      <c r="B24" s="23">
        <v>2240</v>
      </c>
      <c r="C24" s="24"/>
      <c r="D24" s="24">
        <f t="shared" si="0"/>
        <v>0</v>
      </c>
    </row>
    <row r="25" spans="1:4">
      <c r="A25" s="25" t="s">
        <v>39</v>
      </c>
      <c r="B25" s="23">
        <v>2240</v>
      </c>
      <c r="C25" s="24">
        <f>2561.59+780</f>
        <v>3341.59</v>
      </c>
      <c r="D25" s="28">
        <f t="shared" si="0"/>
        <v>3341.59</v>
      </c>
    </row>
    <row r="26" spans="1:4">
      <c r="A26" s="25" t="s">
        <v>15</v>
      </c>
      <c r="B26" s="23">
        <v>2270</v>
      </c>
      <c r="C26" s="24">
        <f>SUM(C27:C31)</f>
        <v>527132.57999999996</v>
      </c>
      <c r="D26" s="24">
        <f t="shared" si="0"/>
        <v>527132.57999999996</v>
      </c>
    </row>
    <row r="27" spans="1:4">
      <c r="A27" s="29" t="s">
        <v>9</v>
      </c>
      <c r="B27" s="22">
        <v>2271</v>
      </c>
      <c r="C27" s="30">
        <f>307857.43+74583.5</f>
        <v>382440.93</v>
      </c>
      <c r="D27" s="30">
        <f t="shared" si="0"/>
        <v>382440.93</v>
      </c>
    </row>
    <row r="28" spans="1:4">
      <c r="A28" s="29" t="s">
        <v>10</v>
      </c>
      <c r="B28" s="22">
        <v>2272</v>
      </c>
      <c r="C28" s="30">
        <f>14903.53+1361.66</f>
        <v>16265.19</v>
      </c>
      <c r="D28" s="30">
        <f t="shared" si="0"/>
        <v>16265.19</v>
      </c>
    </row>
    <row r="29" spans="1:4">
      <c r="A29" s="29" t="s">
        <v>11</v>
      </c>
      <c r="B29" s="22">
        <v>2273</v>
      </c>
      <c r="C29" s="30">
        <f>110228.92+12707.57</f>
        <v>122936.48999999999</v>
      </c>
      <c r="D29" s="30">
        <f t="shared" si="0"/>
        <v>122936.48999999999</v>
      </c>
    </row>
    <row r="30" spans="1:4" hidden="1">
      <c r="A30" s="29" t="s">
        <v>12</v>
      </c>
      <c r="B30" s="22">
        <v>2274</v>
      </c>
      <c r="C30" s="30">
        <v>0</v>
      </c>
      <c r="D30" s="30">
        <f t="shared" si="0"/>
        <v>0</v>
      </c>
    </row>
    <row r="31" spans="1:4">
      <c r="A31" s="29" t="s">
        <v>8</v>
      </c>
      <c r="B31" s="22">
        <v>2275</v>
      </c>
      <c r="C31" s="31">
        <f>3939.01+1550.96</f>
        <v>5489.97</v>
      </c>
      <c r="D31" s="31">
        <f t="shared" si="0"/>
        <v>5489.97</v>
      </c>
    </row>
    <row r="32" spans="1:4">
      <c r="A32" s="25" t="s">
        <v>13</v>
      </c>
      <c r="B32" s="23">
        <v>2700</v>
      </c>
      <c r="C32" s="30">
        <f>C33</f>
        <v>0</v>
      </c>
      <c r="D32" s="30">
        <f t="shared" si="0"/>
        <v>0</v>
      </c>
    </row>
    <row r="33" spans="1:4">
      <c r="A33" s="29" t="s">
        <v>32</v>
      </c>
      <c r="B33" s="22">
        <v>2730</v>
      </c>
      <c r="C33" s="30"/>
      <c r="D33" s="30">
        <f t="shared" si="0"/>
        <v>0</v>
      </c>
    </row>
    <row r="34" spans="1:4">
      <c r="A34" s="23" t="s">
        <v>14</v>
      </c>
      <c r="B34" s="23">
        <v>3000</v>
      </c>
      <c r="C34" s="30">
        <f>C35</f>
        <v>0</v>
      </c>
      <c r="D34" s="30">
        <f t="shared" si="0"/>
        <v>0</v>
      </c>
    </row>
    <row r="35" spans="1:4">
      <c r="A35" s="29" t="s">
        <v>16</v>
      </c>
      <c r="B35" s="22">
        <v>3110</v>
      </c>
      <c r="C35" s="30"/>
      <c r="D35" s="30">
        <f t="shared" si="0"/>
        <v>0</v>
      </c>
    </row>
    <row r="36" spans="1:4" ht="18">
      <c r="A36" s="21"/>
      <c r="C36" s="20"/>
      <c r="D36" s="20"/>
    </row>
    <row r="37" spans="1:4" ht="15" customHeight="1">
      <c r="C37" s="20"/>
      <c r="D37" s="20"/>
    </row>
    <row r="38" spans="1:4" ht="15" customHeight="1">
      <c r="C38" s="20"/>
      <c r="D38" s="20"/>
    </row>
    <row r="39" spans="1:4" ht="15" customHeight="1">
      <c r="C39" s="20"/>
      <c r="D39" s="20"/>
    </row>
    <row r="40" spans="1:4" ht="15" customHeight="1">
      <c r="C40" s="20"/>
      <c r="D40" s="20"/>
    </row>
    <row r="41" spans="1:4" ht="15" customHeight="1"/>
    <row r="42" spans="1:4" ht="15" customHeight="1"/>
    <row r="46" spans="1:4" ht="15" customHeight="1"/>
    <row r="47" spans="1:4" ht="15" customHeight="1"/>
    <row r="48" spans="1:4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8" ht="15" customHeight="1"/>
    <row r="199" ht="15" customHeight="1"/>
  </sheetData>
  <mergeCells count="5">
    <mergeCell ref="A1:D1"/>
    <mergeCell ref="A2:D2"/>
    <mergeCell ref="A3:D3"/>
    <mergeCell ref="B5:D5"/>
    <mergeCell ref="A12:D12"/>
  </mergeCells>
  <pageMargins left="0.70866141732283472" right="0.70866141732283472" top="0.55118110236220474" bottom="0.35433070866141736" header="0.31496062992125984" footer="0.31496062992125984"/>
  <pageSetup paperSize="9" scale="7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7"/>
  <sheetViews>
    <sheetView view="pageBreakPreview" zoomScaleNormal="70" zoomScaleSheetLayoutView="100" workbookViewId="0">
      <selection activeCell="E1" sqref="E1:G1048576"/>
    </sheetView>
  </sheetViews>
  <sheetFormatPr defaultColWidth="14.42578125" defaultRowHeight="15" customHeight="1"/>
  <cols>
    <col min="1" max="1" width="57.85546875" style="10" customWidth="1"/>
    <col min="2" max="2" width="10.85546875" style="10" customWidth="1"/>
    <col min="3" max="4" width="17.42578125" style="10" customWidth="1"/>
    <col min="5" max="16384" width="14.42578125" style="10"/>
  </cols>
  <sheetData>
    <row r="1" spans="1:4">
      <c r="A1" s="41" t="s">
        <v>0</v>
      </c>
      <c r="B1" s="40"/>
      <c r="C1" s="40"/>
      <c r="D1" s="40"/>
    </row>
    <row r="2" spans="1:4">
      <c r="A2" s="41" t="s">
        <v>35</v>
      </c>
      <c r="B2" s="40"/>
      <c r="C2" s="40"/>
      <c r="D2" s="40"/>
    </row>
    <row r="3" spans="1:4">
      <c r="A3" s="41" t="s">
        <v>60</v>
      </c>
      <c r="B3" s="40"/>
      <c r="C3" s="40"/>
      <c r="D3" s="40"/>
    </row>
    <row r="4" spans="1:4">
      <c r="A4" s="15"/>
      <c r="B4" s="15"/>
      <c r="C4" s="16"/>
    </row>
    <row r="5" spans="1:4" ht="52.5" customHeight="1">
      <c r="A5" s="17" t="s">
        <v>23</v>
      </c>
      <c r="B5" s="38" t="s">
        <v>45</v>
      </c>
      <c r="C5" s="38"/>
      <c r="D5" s="38"/>
    </row>
    <row r="6" spans="1:4">
      <c r="A6" s="17" t="s">
        <v>24</v>
      </c>
      <c r="B6" s="18" t="s">
        <v>25</v>
      </c>
    </row>
    <row r="7" spans="1:4">
      <c r="A7" s="17" t="s">
        <v>26</v>
      </c>
      <c r="B7" s="18" t="s">
        <v>27</v>
      </c>
    </row>
    <row r="8" spans="1:4" ht="25.5">
      <c r="A8" s="15" t="s">
        <v>28</v>
      </c>
      <c r="B8" s="18" t="s">
        <v>29</v>
      </c>
    </row>
    <row r="9" spans="1:4" ht="38.25">
      <c r="A9" s="15" t="s">
        <v>30</v>
      </c>
      <c r="B9" s="18" t="s">
        <v>20</v>
      </c>
    </row>
    <row r="10" spans="1:4">
      <c r="A10" s="19" t="s">
        <v>21</v>
      </c>
    </row>
    <row r="11" spans="1:4">
      <c r="A11" s="19" t="s">
        <v>1</v>
      </c>
    </row>
    <row r="12" spans="1:4" ht="15.75">
      <c r="A12" s="39"/>
      <c r="B12" s="40"/>
      <c r="C12" s="40"/>
      <c r="D12" s="40"/>
    </row>
    <row r="13" spans="1:4" ht="36">
      <c r="A13" s="22" t="s">
        <v>2</v>
      </c>
      <c r="B13" s="22" t="s">
        <v>22</v>
      </c>
      <c r="C13" s="22" t="s">
        <v>33</v>
      </c>
      <c r="D13" s="22" t="s">
        <v>34</v>
      </c>
    </row>
    <row r="14" spans="1:4">
      <c r="A14" s="23">
        <v>1</v>
      </c>
      <c r="B14" s="23">
        <v>2</v>
      </c>
      <c r="C14" s="23">
        <v>3</v>
      </c>
      <c r="D14" s="23">
        <v>4</v>
      </c>
    </row>
    <row r="15" spans="1:4">
      <c r="A15" s="23" t="s">
        <v>3</v>
      </c>
      <c r="B15" s="23" t="s">
        <v>4</v>
      </c>
      <c r="C15" s="24">
        <f>C16+C35</f>
        <v>441478.38</v>
      </c>
      <c r="D15" s="24">
        <f>C15</f>
        <v>441478.38</v>
      </c>
    </row>
    <row r="16" spans="1:4" ht="24">
      <c r="A16" s="22" t="s">
        <v>18</v>
      </c>
      <c r="B16" s="23">
        <v>2000</v>
      </c>
      <c r="C16" s="24">
        <f>C17+C33</f>
        <v>441478.38</v>
      </c>
      <c r="D16" s="24">
        <f t="shared" ref="D16:D36" si="0">C16</f>
        <v>441478.38</v>
      </c>
    </row>
    <row r="17" spans="1:4">
      <c r="A17" s="25" t="s">
        <v>5</v>
      </c>
      <c r="B17" s="23">
        <v>2200</v>
      </c>
      <c r="C17" s="24">
        <f>C18+C21+C22+C23+C27+C24+C26+C19+C20+C25</f>
        <v>441478.38</v>
      </c>
      <c r="D17" s="24">
        <f t="shared" si="0"/>
        <v>441478.38</v>
      </c>
    </row>
    <row r="18" spans="1:4">
      <c r="A18" s="26" t="s">
        <v>6</v>
      </c>
      <c r="B18" s="37">
        <v>2210</v>
      </c>
      <c r="C18" s="36">
        <f>3120+3865+1149.5+2784.43</f>
        <v>10918.93</v>
      </c>
      <c r="D18" s="36">
        <f t="shared" si="0"/>
        <v>10918.93</v>
      </c>
    </row>
    <row r="19" spans="1:4" s="34" customFormat="1" ht="24">
      <c r="A19" s="25" t="s">
        <v>61</v>
      </c>
      <c r="B19" s="23">
        <v>2210</v>
      </c>
      <c r="C19" s="36">
        <f>3950</f>
        <v>3950</v>
      </c>
      <c r="D19" s="36">
        <f t="shared" si="0"/>
        <v>3950</v>
      </c>
    </row>
    <row r="20" spans="1:4" s="35" customFormat="1">
      <c r="A20" s="26" t="s">
        <v>62</v>
      </c>
      <c r="B20" s="37">
        <v>2210</v>
      </c>
      <c r="C20" s="36">
        <f>4191.98+8151+443.32+454.69+2272.5+1185.25+5837.77+3150+99920.9+1113.44+395.9+1386.25+3220+496.02</f>
        <v>132219.01999999999</v>
      </c>
      <c r="D20" s="28">
        <f t="shared" si="0"/>
        <v>132219.01999999999</v>
      </c>
    </row>
    <row r="21" spans="1:4">
      <c r="A21" s="26" t="s">
        <v>36</v>
      </c>
      <c r="B21" s="27">
        <v>2210</v>
      </c>
      <c r="C21" s="28">
        <f>3827</f>
        <v>3827</v>
      </c>
      <c r="D21" s="28">
        <f t="shared" si="0"/>
        <v>3827</v>
      </c>
    </row>
    <row r="22" spans="1:4">
      <c r="A22" s="25" t="s">
        <v>7</v>
      </c>
      <c r="B22" s="23">
        <v>2240</v>
      </c>
      <c r="C22" s="24">
        <f>350+4410+1372.8+1547.48+2074.89</f>
        <v>9755.17</v>
      </c>
      <c r="D22" s="28">
        <f t="shared" si="0"/>
        <v>9755.17</v>
      </c>
    </row>
    <row r="23" spans="1:4">
      <c r="A23" s="25" t="s">
        <v>37</v>
      </c>
      <c r="B23" s="23">
        <v>2240</v>
      </c>
      <c r="C23" s="24">
        <f>25172.1</f>
        <v>25172.1</v>
      </c>
      <c r="D23" s="28">
        <f t="shared" si="0"/>
        <v>25172.1</v>
      </c>
    </row>
    <row r="24" spans="1:4">
      <c r="A24" s="25" t="s">
        <v>19</v>
      </c>
      <c r="B24" s="23">
        <v>2240</v>
      </c>
      <c r="C24" s="24"/>
      <c r="D24" s="28">
        <f t="shared" si="0"/>
        <v>0</v>
      </c>
    </row>
    <row r="25" spans="1:4" s="34" customFormat="1" ht="24">
      <c r="A25" s="25" t="s">
        <v>61</v>
      </c>
      <c r="B25" s="23">
        <v>2240</v>
      </c>
      <c r="C25" s="24">
        <f>11939.39</f>
        <v>11939.39</v>
      </c>
      <c r="D25" s="24">
        <f t="shared" si="0"/>
        <v>11939.39</v>
      </c>
    </row>
    <row r="26" spans="1:4">
      <c r="A26" s="25" t="s">
        <v>39</v>
      </c>
      <c r="B26" s="23">
        <v>2240</v>
      </c>
      <c r="C26" s="24">
        <f>3493.1+357.5</f>
        <v>3850.6</v>
      </c>
      <c r="D26" s="28">
        <f t="shared" si="0"/>
        <v>3850.6</v>
      </c>
    </row>
    <row r="27" spans="1:4">
      <c r="A27" s="25" t="s">
        <v>15</v>
      </c>
      <c r="B27" s="23">
        <v>2270</v>
      </c>
      <c r="C27" s="24">
        <f>SUM(C28:C32)</f>
        <v>239846.17</v>
      </c>
      <c r="D27" s="24">
        <f t="shared" si="0"/>
        <v>239846.17</v>
      </c>
    </row>
    <row r="28" spans="1:4">
      <c r="A28" s="29" t="s">
        <v>9</v>
      </c>
      <c r="B28" s="22">
        <v>2271</v>
      </c>
      <c r="C28" s="30">
        <f>147817.41+28446.81</f>
        <v>176264.22</v>
      </c>
      <c r="D28" s="30">
        <f t="shared" si="0"/>
        <v>176264.22</v>
      </c>
    </row>
    <row r="29" spans="1:4">
      <c r="A29" s="29" t="s">
        <v>10</v>
      </c>
      <c r="B29" s="22">
        <v>2272</v>
      </c>
      <c r="C29" s="30">
        <f>9579.12+1464.58</f>
        <v>11043.7</v>
      </c>
      <c r="D29" s="30">
        <f t="shared" si="0"/>
        <v>11043.7</v>
      </c>
    </row>
    <row r="30" spans="1:4">
      <c r="A30" s="29" t="s">
        <v>11</v>
      </c>
      <c r="B30" s="22">
        <v>2273</v>
      </c>
      <c r="C30" s="30">
        <f>39765.08+9028.32</f>
        <v>48793.4</v>
      </c>
      <c r="D30" s="30">
        <f t="shared" si="0"/>
        <v>48793.4</v>
      </c>
    </row>
    <row r="31" spans="1:4" hidden="1">
      <c r="A31" s="29" t="s">
        <v>12</v>
      </c>
      <c r="B31" s="22">
        <v>2274</v>
      </c>
      <c r="C31" s="30">
        <v>0</v>
      </c>
      <c r="D31" s="30">
        <f t="shared" si="0"/>
        <v>0</v>
      </c>
    </row>
    <row r="32" spans="1:4">
      <c r="A32" s="29" t="s">
        <v>8</v>
      </c>
      <c r="B32" s="22">
        <v>2275</v>
      </c>
      <c r="C32" s="31">
        <f>2532.22+1212.63</f>
        <v>3744.85</v>
      </c>
      <c r="D32" s="31">
        <f t="shared" si="0"/>
        <v>3744.85</v>
      </c>
    </row>
    <row r="33" spans="1:4">
      <c r="A33" s="25" t="s">
        <v>13</v>
      </c>
      <c r="B33" s="23">
        <v>2700</v>
      </c>
      <c r="C33" s="30">
        <f>C34</f>
        <v>0</v>
      </c>
      <c r="D33" s="30">
        <f t="shared" si="0"/>
        <v>0</v>
      </c>
    </row>
    <row r="34" spans="1:4">
      <c r="A34" s="29" t="s">
        <v>32</v>
      </c>
      <c r="B34" s="22">
        <v>2730</v>
      </c>
      <c r="C34" s="30"/>
      <c r="D34" s="30">
        <f t="shared" si="0"/>
        <v>0</v>
      </c>
    </row>
    <row r="35" spans="1:4">
      <c r="A35" s="23" t="s">
        <v>14</v>
      </c>
      <c r="B35" s="23">
        <v>3000</v>
      </c>
      <c r="C35" s="30">
        <f>C36</f>
        <v>0</v>
      </c>
      <c r="D35" s="30">
        <f t="shared" si="0"/>
        <v>0</v>
      </c>
    </row>
    <row r="36" spans="1:4">
      <c r="A36" s="29" t="s">
        <v>16</v>
      </c>
      <c r="B36" s="22">
        <v>3110</v>
      </c>
      <c r="C36" s="30"/>
      <c r="D36" s="30">
        <f t="shared" si="0"/>
        <v>0</v>
      </c>
    </row>
    <row r="37" spans="1:4" ht="18">
      <c r="A37" s="21"/>
      <c r="C37" s="20"/>
      <c r="D37" s="20"/>
    </row>
  </sheetData>
  <mergeCells count="5">
    <mergeCell ref="A1:D1"/>
    <mergeCell ref="A2:D2"/>
    <mergeCell ref="A3:D3"/>
    <mergeCell ref="B5:D5"/>
    <mergeCell ref="A12:D12"/>
  </mergeCells>
  <pageMargins left="0.70866141732283472" right="0.70866141732283472" top="0.35433070866141736" bottom="0.35433070866141736" header="0" footer="0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7"/>
  <sheetViews>
    <sheetView view="pageBreakPreview" zoomScaleNormal="80" zoomScaleSheetLayoutView="100" workbookViewId="0">
      <selection activeCell="E1" sqref="E1:G1048576"/>
    </sheetView>
  </sheetViews>
  <sheetFormatPr defaultColWidth="14.42578125" defaultRowHeight="15" customHeight="1"/>
  <cols>
    <col min="1" max="1" width="57.85546875" style="10" customWidth="1"/>
    <col min="2" max="2" width="10.85546875" style="10" customWidth="1"/>
    <col min="3" max="4" width="17.42578125" style="10" customWidth="1"/>
    <col min="5" max="16384" width="14.42578125" style="10"/>
  </cols>
  <sheetData>
    <row r="1" spans="1:4">
      <c r="A1" s="41" t="s">
        <v>0</v>
      </c>
      <c r="B1" s="40"/>
      <c r="C1" s="40"/>
      <c r="D1" s="40"/>
    </row>
    <row r="2" spans="1:4">
      <c r="A2" s="41" t="s">
        <v>35</v>
      </c>
      <c r="B2" s="40"/>
      <c r="C2" s="40"/>
      <c r="D2" s="40"/>
    </row>
    <row r="3" spans="1:4">
      <c r="A3" s="41" t="s">
        <v>60</v>
      </c>
      <c r="B3" s="40"/>
      <c r="C3" s="40"/>
      <c r="D3" s="40"/>
    </row>
    <row r="4" spans="1:4">
      <c r="A4" s="15"/>
      <c r="B4" s="15"/>
      <c r="C4" s="16"/>
    </row>
    <row r="5" spans="1:4" ht="62.25" customHeight="1">
      <c r="A5" s="17" t="s">
        <v>23</v>
      </c>
      <c r="B5" s="38" t="s">
        <v>46</v>
      </c>
      <c r="C5" s="38"/>
      <c r="D5" s="38"/>
    </row>
    <row r="6" spans="1:4">
      <c r="A6" s="17" t="s">
        <v>24</v>
      </c>
      <c r="B6" s="18" t="s">
        <v>25</v>
      </c>
    </row>
    <row r="7" spans="1:4">
      <c r="A7" s="17" t="s">
        <v>26</v>
      </c>
      <c r="B7" s="18" t="s">
        <v>27</v>
      </c>
    </row>
    <row r="8" spans="1:4" ht="25.5">
      <c r="A8" s="15" t="s">
        <v>28</v>
      </c>
      <c r="B8" s="18" t="s">
        <v>29</v>
      </c>
    </row>
    <row r="9" spans="1:4" ht="38.25">
      <c r="A9" s="15" t="s">
        <v>30</v>
      </c>
      <c r="B9" s="18" t="s">
        <v>20</v>
      </c>
    </row>
    <row r="10" spans="1:4">
      <c r="A10" s="19" t="s">
        <v>21</v>
      </c>
    </row>
    <row r="11" spans="1:4">
      <c r="A11" s="19" t="s">
        <v>1</v>
      </c>
    </row>
    <row r="12" spans="1:4" ht="15.75">
      <c r="A12" s="39"/>
      <c r="B12" s="40"/>
      <c r="C12" s="40"/>
      <c r="D12" s="40"/>
    </row>
    <row r="13" spans="1:4" ht="36">
      <c r="A13" s="22" t="s">
        <v>2</v>
      </c>
      <c r="B13" s="22" t="s">
        <v>22</v>
      </c>
      <c r="C13" s="22" t="s">
        <v>33</v>
      </c>
      <c r="D13" s="22" t="s">
        <v>34</v>
      </c>
    </row>
    <row r="14" spans="1:4">
      <c r="A14" s="23">
        <v>1</v>
      </c>
      <c r="B14" s="23">
        <v>2</v>
      </c>
      <c r="C14" s="23">
        <v>3</v>
      </c>
      <c r="D14" s="23">
        <v>4</v>
      </c>
    </row>
    <row r="15" spans="1:4">
      <c r="A15" s="23" t="s">
        <v>3</v>
      </c>
      <c r="B15" s="23" t="s">
        <v>4</v>
      </c>
      <c r="C15" s="24">
        <f>C16+C34</f>
        <v>592835.05000000005</v>
      </c>
      <c r="D15" s="24">
        <f>C15</f>
        <v>592835.05000000005</v>
      </c>
    </row>
    <row r="16" spans="1:4" ht="24">
      <c r="A16" s="22" t="s">
        <v>18</v>
      </c>
      <c r="B16" s="23">
        <v>2000</v>
      </c>
      <c r="C16" s="24">
        <f>C17+C32</f>
        <v>592835.05000000005</v>
      </c>
      <c r="D16" s="24">
        <f t="shared" ref="D16:D35" si="0">C16</f>
        <v>592835.05000000005</v>
      </c>
    </row>
    <row r="17" spans="1:4">
      <c r="A17" s="25" t="s">
        <v>5</v>
      </c>
      <c r="B17" s="23">
        <v>2200</v>
      </c>
      <c r="C17" s="24">
        <f>C18+C20+C21+C22+C26+C23+C25+C19+C24</f>
        <v>592835.05000000005</v>
      </c>
      <c r="D17" s="24">
        <f t="shared" si="0"/>
        <v>592835.05000000005</v>
      </c>
    </row>
    <row r="18" spans="1:4">
      <c r="A18" s="26" t="s">
        <v>6</v>
      </c>
      <c r="B18" s="37">
        <v>2210</v>
      </c>
      <c r="C18" s="28">
        <f>3900+3865+1149.5+2784.43</f>
        <v>11698.93</v>
      </c>
      <c r="D18" s="28">
        <f t="shared" si="0"/>
        <v>11698.93</v>
      </c>
    </row>
    <row r="19" spans="1:4" s="34" customFormat="1" ht="24">
      <c r="A19" s="25" t="s">
        <v>61</v>
      </c>
      <c r="B19" s="23">
        <v>2210</v>
      </c>
      <c r="C19" s="36">
        <f>3950+7320</f>
        <v>11270</v>
      </c>
      <c r="D19" s="36">
        <f t="shared" si="0"/>
        <v>11270</v>
      </c>
    </row>
    <row r="20" spans="1:4">
      <c r="A20" s="26" t="s">
        <v>36</v>
      </c>
      <c r="B20" s="27">
        <v>2210</v>
      </c>
      <c r="C20" s="28">
        <f>4996.64+90000</f>
        <v>94996.64</v>
      </c>
      <c r="D20" s="28">
        <f t="shared" si="0"/>
        <v>94996.64</v>
      </c>
    </row>
    <row r="21" spans="1:4">
      <c r="A21" s="25" t="s">
        <v>7</v>
      </c>
      <c r="B21" s="23">
        <v>2240</v>
      </c>
      <c r="C21" s="24">
        <f>350+4410+1372.8+989.48+2074.89</f>
        <v>9197.17</v>
      </c>
      <c r="D21" s="28">
        <f t="shared" si="0"/>
        <v>9197.17</v>
      </c>
    </row>
    <row r="22" spans="1:4">
      <c r="A22" s="25" t="s">
        <v>37</v>
      </c>
      <c r="B22" s="23">
        <v>2240</v>
      </c>
      <c r="C22" s="24"/>
      <c r="D22" s="28">
        <f t="shared" si="0"/>
        <v>0</v>
      </c>
    </row>
    <row r="23" spans="1:4">
      <c r="A23" s="25" t="s">
        <v>19</v>
      </c>
      <c r="B23" s="23">
        <v>2240</v>
      </c>
      <c r="C23" s="24"/>
      <c r="D23" s="28">
        <f t="shared" si="0"/>
        <v>0</v>
      </c>
    </row>
    <row r="24" spans="1:4" s="34" customFormat="1" ht="24">
      <c r="A24" s="25" t="s">
        <v>61</v>
      </c>
      <c r="B24" s="23">
        <v>2240</v>
      </c>
      <c r="C24" s="24">
        <f>35012.72</f>
        <v>35012.720000000001</v>
      </c>
      <c r="D24" s="24">
        <f t="shared" si="0"/>
        <v>35012.720000000001</v>
      </c>
    </row>
    <row r="25" spans="1:4">
      <c r="A25" s="25" t="s">
        <v>39</v>
      </c>
      <c r="B25" s="23">
        <v>2240</v>
      </c>
      <c r="C25" s="24">
        <f>2990.13+975</f>
        <v>3965.13</v>
      </c>
      <c r="D25" s="28">
        <f t="shared" si="0"/>
        <v>3965.13</v>
      </c>
    </row>
    <row r="26" spans="1:4">
      <c r="A26" s="25" t="s">
        <v>15</v>
      </c>
      <c r="B26" s="23">
        <v>2270</v>
      </c>
      <c r="C26" s="24">
        <f>SUM(C27:C31)</f>
        <v>426694.46</v>
      </c>
      <c r="D26" s="24">
        <f t="shared" si="0"/>
        <v>426694.46</v>
      </c>
    </row>
    <row r="27" spans="1:4">
      <c r="A27" s="29" t="s">
        <v>9</v>
      </c>
      <c r="B27" s="22">
        <v>2271</v>
      </c>
      <c r="C27" s="30">
        <f>252559.01+57996.82</f>
        <v>310555.83</v>
      </c>
      <c r="D27" s="30">
        <f t="shared" si="0"/>
        <v>310555.83</v>
      </c>
    </row>
    <row r="28" spans="1:4">
      <c r="A28" s="29" t="s">
        <v>10</v>
      </c>
      <c r="B28" s="22">
        <v>2272</v>
      </c>
      <c r="C28" s="30">
        <f>7366.99+1985.76</f>
        <v>9352.75</v>
      </c>
      <c r="D28" s="30">
        <f t="shared" si="0"/>
        <v>9352.75</v>
      </c>
    </row>
    <row r="29" spans="1:4">
      <c r="A29" s="29" t="s">
        <v>11</v>
      </c>
      <c r="B29" s="22">
        <v>2273</v>
      </c>
      <c r="C29" s="30">
        <f>82379.03+19677.24</f>
        <v>102056.27</v>
      </c>
      <c r="D29" s="30">
        <f t="shared" si="0"/>
        <v>102056.27</v>
      </c>
    </row>
    <row r="30" spans="1:4" hidden="1">
      <c r="A30" s="29" t="s">
        <v>12</v>
      </c>
      <c r="B30" s="22">
        <v>2274</v>
      </c>
      <c r="C30" s="30">
        <v>0</v>
      </c>
      <c r="D30" s="30">
        <f t="shared" si="0"/>
        <v>0</v>
      </c>
    </row>
    <row r="31" spans="1:4">
      <c r="A31" s="29" t="s">
        <v>8</v>
      </c>
      <c r="B31" s="22">
        <v>2275</v>
      </c>
      <c r="C31" s="31">
        <f>3516.98+1212.63</f>
        <v>4729.6100000000006</v>
      </c>
      <c r="D31" s="31">
        <f t="shared" si="0"/>
        <v>4729.6100000000006</v>
      </c>
    </row>
    <row r="32" spans="1:4">
      <c r="A32" s="25" t="s">
        <v>13</v>
      </c>
      <c r="B32" s="23">
        <v>2700</v>
      </c>
      <c r="C32" s="30">
        <f>C33</f>
        <v>0</v>
      </c>
      <c r="D32" s="30">
        <f t="shared" si="0"/>
        <v>0</v>
      </c>
    </row>
    <row r="33" spans="1:4">
      <c r="A33" s="29" t="s">
        <v>32</v>
      </c>
      <c r="B33" s="22">
        <v>2730</v>
      </c>
      <c r="C33" s="30"/>
      <c r="D33" s="30">
        <f t="shared" si="0"/>
        <v>0</v>
      </c>
    </row>
    <row r="34" spans="1:4">
      <c r="A34" s="23" t="s">
        <v>14</v>
      </c>
      <c r="B34" s="23">
        <v>3000</v>
      </c>
      <c r="C34" s="30">
        <f>C35</f>
        <v>0</v>
      </c>
      <c r="D34" s="30">
        <f t="shared" si="0"/>
        <v>0</v>
      </c>
    </row>
    <row r="35" spans="1:4">
      <c r="A35" s="29" t="s">
        <v>16</v>
      </c>
      <c r="B35" s="22">
        <v>3110</v>
      </c>
      <c r="C35" s="30"/>
      <c r="D35" s="30">
        <f t="shared" si="0"/>
        <v>0</v>
      </c>
    </row>
    <row r="36" spans="1:4" ht="18">
      <c r="A36" s="21"/>
      <c r="C36" s="20"/>
      <c r="D36" s="20"/>
    </row>
    <row r="37" spans="1:4" ht="15" customHeight="1">
      <c r="C37" s="20"/>
      <c r="D37" s="20"/>
    </row>
  </sheetData>
  <mergeCells count="5">
    <mergeCell ref="A1:D1"/>
    <mergeCell ref="A2:D2"/>
    <mergeCell ref="A3:D3"/>
    <mergeCell ref="B5:D5"/>
    <mergeCell ref="A12:D12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25"/>
  <sheetViews>
    <sheetView view="pageBreakPreview" zoomScaleNormal="60" zoomScaleSheetLayoutView="100" workbookViewId="0">
      <selection activeCell="E1" sqref="E1:G1048576"/>
    </sheetView>
  </sheetViews>
  <sheetFormatPr defaultColWidth="14.42578125" defaultRowHeight="15" customHeight="1"/>
  <cols>
    <col min="1" max="1" width="57.85546875" style="11" customWidth="1"/>
    <col min="2" max="2" width="10.85546875" style="11" customWidth="1"/>
    <col min="3" max="4" width="17.42578125" style="11" customWidth="1"/>
    <col min="5" max="16384" width="14.42578125" style="11"/>
  </cols>
  <sheetData>
    <row r="1" spans="1:4">
      <c r="A1" s="42" t="s">
        <v>0</v>
      </c>
      <c r="B1" s="43"/>
      <c r="C1" s="43"/>
      <c r="D1" s="43"/>
    </row>
    <row r="2" spans="1:4">
      <c r="A2" s="41" t="s">
        <v>35</v>
      </c>
      <c r="B2" s="40"/>
      <c r="C2" s="40"/>
      <c r="D2" s="40"/>
    </row>
    <row r="3" spans="1:4">
      <c r="A3" s="41" t="s">
        <v>60</v>
      </c>
      <c r="B3" s="40"/>
      <c r="C3" s="40"/>
      <c r="D3" s="40"/>
    </row>
    <row r="4" spans="1:4">
      <c r="A4" s="1"/>
      <c r="B4" s="1"/>
      <c r="C4" s="2"/>
    </row>
    <row r="5" spans="1:4" ht="62.25" customHeight="1">
      <c r="A5" s="13" t="s">
        <v>23</v>
      </c>
      <c r="B5" s="44" t="s">
        <v>47</v>
      </c>
      <c r="C5" s="44"/>
      <c r="D5" s="44"/>
    </row>
    <row r="6" spans="1:4">
      <c r="A6" s="13" t="s">
        <v>24</v>
      </c>
      <c r="B6" s="12" t="s">
        <v>25</v>
      </c>
    </row>
    <row r="7" spans="1:4">
      <c r="A7" s="13" t="s">
        <v>26</v>
      </c>
      <c r="B7" s="12" t="s">
        <v>27</v>
      </c>
    </row>
    <row r="8" spans="1:4" ht="25.5">
      <c r="A8" s="1" t="s">
        <v>28</v>
      </c>
      <c r="B8" s="12" t="s">
        <v>29</v>
      </c>
    </row>
    <row r="9" spans="1:4" ht="38.25">
      <c r="A9" s="1" t="s">
        <v>30</v>
      </c>
      <c r="B9" s="12" t="s">
        <v>20</v>
      </c>
    </row>
    <row r="10" spans="1:4">
      <c r="A10" s="3" t="s">
        <v>21</v>
      </c>
    </row>
    <row r="11" spans="1:4">
      <c r="A11" s="3" t="s">
        <v>1</v>
      </c>
    </row>
    <row r="12" spans="1:4" ht="15.75">
      <c r="A12" s="45"/>
      <c r="B12" s="43"/>
      <c r="C12" s="43"/>
      <c r="D12" s="43"/>
    </row>
    <row r="13" spans="1:4" ht="36">
      <c r="A13" s="22" t="s">
        <v>2</v>
      </c>
      <c r="B13" s="22" t="s">
        <v>22</v>
      </c>
      <c r="C13" s="22" t="s">
        <v>33</v>
      </c>
      <c r="D13" s="22" t="s">
        <v>34</v>
      </c>
    </row>
    <row r="14" spans="1:4">
      <c r="A14" s="23">
        <v>1</v>
      </c>
      <c r="B14" s="23">
        <v>2</v>
      </c>
      <c r="C14" s="23">
        <v>3</v>
      </c>
      <c r="D14" s="23">
        <v>4</v>
      </c>
    </row>
    <row r="15" spans="1:4" s="7" customFormat="1">
      <c r="A15" s="23" t="s">
        <v>3</v>
      </c>
      <c r="B15" s="23" t="s">
        <v>4</v>
      </c>
      <c r="C15" s="24">
        <f>C16+C34</f>
        <v>2054343.82</v>
      </c>
      <c r="D15" s="24">
        <f>C15</f>
        <v>2054343.82</v>
      </c>
    </row>
    <row r="16" spans="1:4" s="6" customFormat="1" ht="24">
      <c r="A16" s="22" t="s">
        <v>18</v>
      </c>
      <c r="B16" s="23">
        <v>2000</v>
      </c>
      <c r="C16" s="24">
        <f>C17+C32</f>
        <v>2054343.82</v>
      </c>
      <c r="D16" s="24">
        <f t="shared" ref="D16:D35" si="0">C16</f>
        <v>2054343.82</v>
      </c>
    </row>
    <row r="17" spans="1:4" s="8" customFormat="1">
      <c r="A17" s="25" t="s">
        <v>5</v>
      </c>
      <c r="B17" s="23">
        <v>2200</v>
      </c>
      <c r="C17" s="24">
        <f>C18+C20+C21+C22+C26+C23+C25+C19+C24</f>
        <v>2054343.82</v>
      </c>
      <c r="D17" s="24">
        <f t="shared" si="0"/>
        <v>2054343.82</v>
      </c>
    </row>
    <row r="18" spans="1:4" s="9" customFormat="1">
      <c r="A18" s="26" t="s">
        <v>6</v>
      </c>
      <c r="B18" s="37">
        <v>2210</v>
      </c>
      <c r="C18" s="28">
        <f>5460+5295+1149.5+2784.43</f>
        <v>14688.93</v>
      </c>
      <c r="D18" s="28">
        <f t="shared" si="0"/>
        <v>14688.93</v>
      </c>
    </row>
    <row r="19" spans="1:4" s="9" customFormat="1" ht="24">
      <c r="A19" s="25" t="s">
        <v>61</v>
      </c>
      <c r="B19" s="23">
        <v>2210</v>
      </c>
      <c r="C19" s="36">
        <f>3950+7320+19870</f>
        <v>31140</v>
      </c>
      <c r="D19" s="36">
        <f t="shared" si="0"/>
        <v>31140</v>
      </c>
    </row>
    <row r="20" spans="1:4" s="9" customFormat="1">
      <c r="A20" s="26" t="s">
        <v>36</v>
      </c>
      <c r="B20" s="27">
        <v>2210</v>
      </c>
      <c r="C20" s="28"/>
      <c r="D20" s="28">
        <f t="shared" si="0"/>
        <v>0</v>
      </c>
    </row>
    <row r="21" spans="1:4" s="9" customFormat="1">
      <c r="A21" s="25" t="s">
        <v>7</v>
      </c>
      <c r="B21" s="23">
        <v>2240</v>
      </c>
      <c r="C21" s="24">
        <f>450+1179+4455+2087.48+1683+4161.28+2074.89</f>
        <v>16090.649999999998</v>
      </c>
      <c r="D21" s="28">
        <f t="shared" si="0"/>
        <v>16090.649999999998</v>
      </c>
    </row>
    <row r="22" spans="1:4" s="9" customFormat="1">
      <c r="A22" s="25" t="s">
        <v>37</v>
      </c>
      <c r="B22" s="23">
        <v>2240</v>
      </c>
      <c r="C22" s="24"/>
      <c r="D22" s="28">
        <f t="shared" si="0"/>
        <v>0</v>
      </c>
    </row>
    <row r="23" spans="1:4" s="9" customFormat="1">
      <c r="A23" s="25" t="s">
        <v>19</v>
      </c>
      <c r="B23" s="23">
        <v>2240</v>
      </c>
      <c r="C23" s="24"/>
      <c r="D23" s="28">
        <f t="shared" si="0"/>
        <v>0</v>
      </c>
    </row>
    <row r="24" spans="1:4" s="9" customFormat="1" ht="24">
      <c r="A24" s="25" t="s">
        <v>61</v>
      </c>
      <c r="B24" s="23">
        <v>2240</v>
      </c>
      <c r="C24" s="24"/>
      <c r="D24" s="24">
        <f t="shared" si="0"/>
        <v>0</v>
      </c>
    </row>
    <row r="25" spans="1:4" s="9" customFormat="1">
      <c r="A25" s="25" t="s">
        <v>39</v>
      </c>
      <c r="B25" s="23">
        <v>2240</v>
      </c>
      <c r="C25" s="24">
        <f>14998.32+2696.75+422.5+4999.44</f>
        <v>23117.01</v>
      </c>
      <c r="D25" s="28">
        <f t="shared" si="0"/>
        <v>23117.01</v>
      </c>
    </row>
    <row r="26" spans="1:4" s="9" customFormat="1">
      <c r="A26" s="25" t="s">
        <v>15</v>
      </c>
      <c r="B26" s="23">
        <v>2270</v>
      </c>
      <c r="C26" s="24">
        <f>SUM(C27:C31)</f>
        <v>1969307.23</v>
      </c>
      <c r="D26" s="24">
        <f t="shared" si="0"/>
        <v>1969307.23</v>
      </c>
    </row>
    <row r="27" spans="1:4">
      <c r="A27" s="29" t="s">
        <v>9</v>
      </c>
      <c r="B27" s="22">
        <v>2271</v>
      </c>
      <c r="C27" s="30">
        <f>1356919.17+376023.45</f>
        <v>1732942.6199999999</v>
      </c>
      <c r="D27" s="30">
        <f t="shared" si="0"/>
        <v>1732942.6199999999</v>
      </c>
    </row>
    <row r="28" spans="1:4">
      <c r="A28" s="29" t="s">
        <v>10</v>
      </c>
      <c r="B28" s="22">
        <v>2272</v>
      </c>
      <c r="C28" s="30">
        <f>33304.03+5758.7</f>
        <v>39062.729999999996</v>
      </c>
      <c r="D28" s="30">
        <f t="shared" si="0"/>
        <v>39062.729999999996</v>
      </c>
    </row>
    <row r="29" spans="1:4">
      <c r="A29" s="29" t="s">
        <v>11</v>
      </c>
      <c r="B29" s="22">
        <v>2273</v>
      </c>
      <c r="C29" s="30">
        <f>166880.33+25129.23</f>
        <v>192009.56</v>
      </c>
      <c r="D29" s="30">
        <f t="shared" si="0"/>
        <v>192009.56</v>
      </c>
    </row>
    <row r="30" spans="1:4" hidden="1">
      <c r="A30" s="29" t="s">
        <v>12</v>
      </c>
      <c r="B30" s="22">
        <v>2274</v>
      </c>
      <c r="C30" s="30">
        <v>0</v>
      </c>
      <c r="D30" s="30">
        <f t="shared" si="0"/>
        <v>0</v>
      </c>
    </row>
    <row r="31" spans="1:4">
      <c r="A31" s="29" t="s">
        <v>8</v>
      </c>
      <c r="B31" s="22">
        <v>2275</v>
      </c>
      <c r="C31" s="31">
        <f>3939.01+1353.31</f>
        <v>5292.32</v>
      </c>
      <c r="D31" s="31">
        <f t="shared" si="0"/>
        <v>5292.32</v>
      </c>
    </row>
    <row r="32" spans="1:4" s="8" customFormat="1">
      <c r="A32" s="25" t="s">
        <v>13</v>
      </c>
      <c r="B32" s="23">
        <v>2700</v>
      </c>
      <c r="C32" s="30">
        <f>C33</f>
        <v>0</v>
      </c>
      <c r="D32" s="30">
        <f t="shared" si="0"/>
        <v>0</v>
      </c>
    </row>
    <row r="33" spans="1:4">
      <c r="A33" s="29" t="s">
        <v>32</v>
      </c>
      <c r="B33" s="22">
        <v>2730</v>
      </c>
      <c r="C33" s="30"/>
      <c r="D33" s="30">
        <f t="shared" si="0"/>
        <v>0</v>
      </c>
    </row>
    <row r="34" spans="1:4" s="6" customFormat="1">
      <c r="A34" s="23" t="s">
        <v>14</v>
      </c>
      <c r="B34" s="23">
        <v>3000</v>
      </c>
      <c r="C34" s="30">
        <f>C35</f>
        <v>0</v>
      </c>
      <c r="D34" s="30">
        <f t="shared" si="0"/>
        <v>0</v>
      </c>
    </row>
    <row r="35" spans="1:4">
      <c r="A35" s="29" t="s">
        <v>16</v>
      </c>
      <c r="B35" s="22">
        <v>3110</v>
      </c>
      <c r="C35" s="30"/>
      <c r="D35" s="30">
        <f t="shared" si="0"/>
        <v>0</v>
      </c>
    </row>
    <row r="36" spans="1:4" ht="18">
      <c r="A36" s="4"/>
      <c r="C36" s="14"/>
      <c r="D36" s="14"/>
    </row>
    <row r="43" spans="1:4" s="5" customFormat="1"/>
    <row r="44" spans="1:4" s="5" customFormat="1"/>
    <row r="45" spans="1:4" s="5" customFormat="1"/>
    <row r="81" s="5" customFormat="1"/>
    <row r="82" s="5" customFormat="1"/>
    <row r="83" s="5" customFormat="1"/>
    <row r="119" s="5" customFormat="1"/>
    <row r="120" s="5" customFormat="1"/>
    <row r="121" s="5" customFormat="1"/>
    <row r="157" s="5" customFormat="1"/>
    <row r="158" s="5" customFormat="1"/>
    <row r="159" s="5" customFormat="1"/>
    <row r="195" s="5" customFormat="1"/>
    <row r="196" s="5" customFormat="1"/>
    <row r="197" s="5" customFormat="1"/>
    <row r="233" s="5" customFormat="1"/>
    <row r="234" s="5" customFormat="1"/>
    <row r="235" s="5" customFormat="1"/>
    <row r="271" s="5" customFormat="1"/>
    <row r="272" s="5" customFormat="1"/>
    <row r="273" s="5" customFormat="1"/>
    <row r="309" s="5" customFormat="1"/>
    <row r="310" s="5" customFormat="1"/>
    <row r="311" s="5" customFormat="1"/>
    <row r="347" s="5" customFormat="1"/>
    <row r="348" s="5" customFormat="1"/>
    <row r="349" s="5" customFormat="1"/>
    <row r="385" s="5" customFormat="1"/>
    <row r="386" s="5" customFormat="1"/>
    <row r="387" s="5" customFormat="1"/>
    <row r="423" s="5" customFormat="1"/>
    <row r="424" s="5" customFormat="1"/>
    <row r="425" s="5" customFormat="1"/>
  </sheetData>
  <mergeCells count="5">
    <mergeCell ref="A1:D1"/>
    <mergeCell ref="A2:D2"/>
    <mergeCell ref="A3:D3"/>
    <mergeCell ref="B5:D5"/>
    <mergeCell ref="A12:D12"/>
  </mergeCells>
  <pageMargins left="0.70866141732283472" right="0.70866141732283472" top="0.35433070866141736" bottom="0.35433070866141736" header="0" footer="0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8"/>
  <sheetViews>
    <sheetView view="pageBreakPreview" zoomScaleNormal="70" zoomScaleSheetLayoutView="100" workbookViewId="0">
      <selection activeCell="E1" sqref="E1:G1048576"/>
    </sheetView>
  </sheetViews>
  <sheetFormatPr defaultColWidth="14.42578125" defaultRowHeight="15" customHeight="1"/>
  <cols>
    <col min="1" max="1" width="57.85546875" style="10" customWidth="1"/>
    <col min="2" max="2" width="10.85546875" style="10" customWidth="1"/>
    <col min="3" max="4" width="17.42578125" style="10" customWidth="1"/>
    <col min="5" max="16384" width="14.42578125" style="10"/>
  </cols>
  <sheetData>
    <row r="1" spans="1:4">
      <c r="A1" s="41" t="s">
        <v>0</v>
      </c>
      <c r="B1" s="40"/>
      <c r="C1" s="40"/>
      <c r="D1" s="40"/>
    </row>
    <row r="2" spans="1:4">
      <c r="A2" s="41" t="s">
        <v>35</v>
      </c>
      <c r="B2" s="40"/>
      <c r="C2" s="40"/>
      <c r="D2" s="40"/>
    </row>
    <row r="3" spans="1:4" s="33" customFormat="1">
      <c r="A3" s="41" t="s">
        <v>60</v>
      </c>
      <c r="B3" s="40"/>
      <c r="C3" s="40"/>
      <c r="D3" s="40"/>
    </row>
    <row r="4" spans="1:4">
      <c r="A4" s="15"/>
      <c r="B4" s="15"/>
      <c r="C4" s="16"/>
    </row>
    <row r="5" spans="1:4" ht="57" customHeight="1">
      <c r="A5" s="17" t="s">
        <v>23</v>
      </c>
      <c r="B5" s="38" t="s">
        <v>48</v>
      </c>
      <c r="C5" s="38"/>
      <c r="D5" s="38"/>
    </row>
    <row r="6" spans="1:4">
      <c r="A6" s="17" t="s">
        <v>24</v>
      </c>
      <c r="B6" s="18" t="s">
        <v>25</v>
      </c>
    </row>
    <row r="7" spans="1:4">
      <c r="A7" s="17" t="s">
        <v>26</v>
      </c>
      <c r="B7" s="18" t="s">
        <v>27</v>
      </c>
    </row>
    <row r="8" spans="1:4" ht="25.5">
      <c r="A8" s="15" t="s">
        <v>28</v>
      </c>
      <c r="B8" s="18" t="s">
        <v>29</v>
      </c>
    </row>
    <row r="9" spans="1:4" ht="38.25">
      <c r="A9" s="15" t="s">
        <v>30</v>
      </c>
      <c r="B9" s="18" t="s">
        <v>20</v>
      </c>
    </row>
    <row r="10" spans="1:4">
      <c r="A10" s="19" t="s">
        <v>21</v>
      </c>
    </row>
    <row r="11" spans="1:4">
      <c r="A11" s="19" t="s">
        <v>1</v>
      </c>
    </row>
    <row r="12" spans="1:4" ht="15.75">
      <c r="A12" s="39"/>
      <c r="B12" s="40"/>
      <c r="C12" s="40"/>
      <c r="D12" s="40"/>
    </row>
    <row r="13" spans="1:4" ht="36">
      <c r="A13" s="22" t="s">
        <v>2</v>
      </c>
      <c r="B13" s="22" t="s">
        <v>22</v>
      </c>
      <c r="C13" s="22" t="s">
        <v>33</v>
      </c>
      <c r="D13" s="22" t="s">
        <v>34</v>
      </c>
    </row>
    <row r="14" spans="1:4">
      <c r="A14" s="23">
        <v>1</v>
      </c>
      <c r="B14" s="23">
        <v>2</v>
      </c>
      <c r="C14" s="23">
        <v>3</v>
      </c>
      <c r="D14" s="23">
        <v>4</v>
      </c>
    </row>
    <row r="15" spans="1:4">
      <c r="A15" s="23" t="s">
        <v>3</v>
      </c>
      <c r="B15" s="23" t="s">
        <v>4</v>
      </c>
      <c r="C15" s="24">
        <f>C16+C34</f>
        <v>775590.13</v>
      </c>
      <c r="D15" s="24">
        <f>C15</f>
        <v>775590.13</v>
      </c>
    </row>
    <row r="16" spans="1:4" ht="24">
      <c r="A16" s="22" t="s">
        <v>18</v>
      </c>
      <c r="B16" s="23">
        <v>2000</v>
      </c>
      <c r="C16" s="24">
        <f>C17+C32</f>
        <v>775590.13</v>
      </c>
      <c r="D16" s="24">
        <f t="shared" ref="D16:D35" si="0">C16</f>
        <v>775590.13</v>
      </c>
    </row>
    <row r="17" spans="1:4">
      <c r="A17" s="25" t="s">
        <v>5</v>
      </c>
      <c r="B17" s="23">
        <v>2200</v>
      </c>
      <c r="C17" s="24">
        <f>C18+C20+C21+C22+C26+C23+C25+C19+C24</f>
        <v>775590.13</v>
      </c>
      <c r="D17" s="24">
        <f t="shared" si="0"/>
        <v>775590.13</v>
      </c>
    </row>
    <row r="18" spans="1:4">
      <c r="A18" s="26" t="s">
        <v>6</v>
      </c>
      <c r="B18" s="37">
        <v>2210</v>
      </c>
      <c r="C18" s="28">
        <f>3900+4765+1149.5+2784.43</f>
        <v>12598.93</v>
      </c>
      <c r="D18" s="28">
        <f t="shared" si="0"/>
        <v>12598.93</v>
      </c>
    </row>
    <row r="19" spans="1:4" s="34" customFormat="1" ht="24">
      <c r="A19" s="25" t="s">
        <v>61</v>
      </c>
      <c r="B19" s="23">
        <v>2210</v>
      </c>
      <c r="C19" s="36">
        <f>3950+7320+19870</f>
        <v>31140</v>
      </c>
      <c r="D19" s="36">
        <f t="shared" si="0"/>
        <v>31140</v>
      </c>
    </row>
    <row r="20" spans="1:4">
      <c r="A20" s="26" t="s">
        <v>36</v>
      </c>
      <c r="B20" s="27">
        <v>2210</v>
      </c>
      <c r="C20" s="28">
        <f>5999.14</f>
        <v>5999.14</v>
      </c>
      <c r="D20" s="28">
        <f t="shared" si="0"/>
        <v>5999.14</v>
      </c>
    </row>
    <row r="21" spans="1:4">
      <c r="A21" s="25" t="s">
        <v>7</v>
      </c>
      <c r="B21" s="23">
        <v>2240</v>
      </c>
      <c r="C21" s="24">
        <f>450+3132+686.4+2015.48+8415+6000+2074.89</f>
        <v>22773.769999999997</v>
      </c>
      <c r="D21" s="28">
        <f t="shared" si="0"/>
        <v>22773.769999999997</v>
      </c>
    </row>
    <row r="22" spans="1:4">
      <c r="A22" s="25" t="s">
        <v>37</v>
      </c>
      <c r="B22" s="23">
        <v>2240</v>
      </c>
      <c r="C22" s="24">
        <f>64000</f>
        <v>64000</v>
      </c>
      <c r="D22" s="28">
        <f t="shared" si="0"/>
        <v>64000</v>
      </c>
    </row>
    <row r="23" spans="1:4">
      <c r="A23" s="25" t="s">
        <v>19</v>
      </c>
      <c r="B23" s="23">
        <v>2240</v>
      </c>
      <c r="C23" s="24">
        <f>23500</f>
        <v>23500</v>
      </c>
      <c r="D23" s="28">
        <f t="shared" si="0"/>
        <v>23500</v>
      </c>
    </row>
    <row r="24" spans="1:4" s="34" customFormat="1" ht="24">
      <c r="A24" s="25" t="s">
        <v>61</v>
      </c>
      <c r="B24" s="23">
        <v>2240</v>
      </c>
      <c r="C24" s="24">
        <f>20402.43</f>
        <v>20402.43</v>
      </c>
      <c r="D24" s="24">
        <f t="shared" si="0"/>
        <v>20402.43</v>
      </c>
    </row>
    <row r="25" spans="1:4">
      <c r="A25" s="25" t="s">
        <v>39</v>
      </c>
      <c r="B25" s="23">
        <v>2240</v>
      </c>
      <c r="C25" s="24">
        <f>4319.39+812.5</f>
        <v>5131.8900000000003</v>
      </c>
      <c r="D25" s="28">
        <f t="shared" si="0"/>
        <v>5131.8900000000003</v>
      </c>
    </row>
    <row r="26" spans="1:4">
      <c r="A26" s="25" t="s">
        <v>15</v>
      </c>
      <c r="B26" s="23">
        <v>2270</v>
      </c>
      <c r="C26" s="24">
        <f>SUM(C27:C31)</f>
        <v>590043.97</v>
      </c>
      <c r="D26" s="24">
        <f t="shared" si="0"/>
        <v>590043.97</v>
      </c>
    </row>
    <row r="27" spans="1:4">
      <c r="A27" s="29" t="s">
        <v>9</v>
      </c>
      <c r="B27" s="22">
        <v>2271</v>
      </c>
      <c r="C27" s="30">
        <f>241830.55+51297.91</f>
        <v>293128.45999999996</v>
      </c>
      <c r="D27" s="30">
        <f t="shared" si="0"/>
        <v>293128.45999999996</v>
      </c>
    </row>
    <row r="28" spans="1:4">
      <c r="A28" s="29" t="s">
        <v>10</v>
      </c>
      <c r="B28" s="22">
        <v>2272</v>
      </c>
      <c r="C28" s="30">
        <f>25499.14+3432.53</f>
        <v>28931.67</v>
      </c>
      <c r="D28" s="30">
        <f t="shared" si="0"/>
        <v>28931.67</v>
      </c>
    </row>
    <row r="29" spans="1:4">
      <c r="A29" s="29" t="s">
        <v>11</v>
      </c>
      <c r="B29" s="22">
        <v>2273</v>
      </c>
      <c r="C29" s="30">
        <f>195021.1+68430.78</f>
        <v>263451.88</v>
      </c>
      <c r="D29" s="30">
        <f t="shared" si="0"/>
        <v>263451.88</v>
      </c>
    </row>
    <row r="30" spans="1:4" hidden="1">
      <c r="A30" s="29" t="s">
        <v>12</v>
      </c>
      <c r="B30" s="22">
        <v>2274</v>
      </c>
      <c r="C30" s="30">
        <v>0</v>
      </c>
      <c r="D30" s="30">
        <f t="shared" si="0"/>
        <v>0</v>
      </c>
    </row>
    <row r="31" spans="1:4">
      <c r="A31" s="29" t="s">
        <v>8</v>
      </c>
      <c r="B31" s="22">
        <v>2275</v>
      </c>
      <c r="C31" s="31">
        <f>3376.3+1155.66</f>
        <v>4531.96</v>
      </c>
      <c r="D31" s="31">
        <f t="shared" si="0"/>
        <v>4531.96</v>
      </c>
    </row>
    <row r="32" spans="1:4">
      <c r="A32" s="25" t="s">
        <v>13</v>
      </c>
      <c r="B32" s="23">
        <v>2700</v>
      </c>
      <c r="C32" s="30">
        <f>C33</f>
        <v>0</v>
      </c>
      <c r="D32" s="30">
        <f t="shared" si="0"/>
        <v>0</v>
      </c>
    </row>
    <row r="33" spans="1:4">
      <c r="A33" s="29" t="s">
        <v>32</v>
      </c>
      <c r="B33" s="22">
        <v>2730</v>
      </c>
      <c r="C33" s="30"/>
      <c r="D33" s="30">
        <f t="shared" si="0"/>
        <v>0</v>
      </c>
    </row>
    <row r="34" spans="1:4">
      <c r="A34" s="23" t="s">
        <v>14</v>
      </c>
      <c r="B34" s="23">
        <v>3000</v>
      </c>
      <c r="C34" s="30">
        <f>C35</f>
        <v>0</v>
      </c>
      <c r="D34" s="30">
        <f t="shared" si="0"/>
        <v>0</v>
      </c>
    </row>
    <row r="35" spans="1:4" ht="24">
      <c r="A35" s="29" t="s">
        <v>38</v>
      </c>
      <c r="B35" s="22">
        <v>3110</v>
      </c>
      <c r="C35" s="30"/>
      <c r="D35" s="30">
        <f t="shared" si="0"/>
        <v>0</v>
      </c>
    </row>
    <row r="36" spans="1:4" ht="18">
      <c r="A36" s="21"/>
      <c r="C36" s="20"/>
      <c r="D36" s="20"/>
    </row>
    <row r="37" spans="1:4" ht="15" customHeight="1">
      <c r="C37" s="20"/>
      <c r="D37" s="20"/>
    </row>
    <row r="38" spans="1:4" ht="15" customHeight="1">
      <c r="C38" s="20"/>
      <c r="D38" s="20"/>
    </row>
  </sheetData>
  <mergeCells count="5">
    <mergeCell ref="A1:D1"/>
    <mergeCell ref="A2:D2"/>
    <mergeCell ref="B5:D5"/>
    <mergeCell ref="A12:D12"/>
    <mergeCell ref="A3:D3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425"/>
  <sheetViews>
    <sheetView view="pageBreakPreview" zoomScaleNormal="70" zoomScaleSheetLayoutView="100" workbookViewId="0">
      <selection activeCell="E1" sqref="E1:G1048576"/>
    </sheetView>
  </sheetViews>
  <sheetFormatPr defaultColWidth="14.42578125" defaultRowHeight="15" customHeight="1"/>
  <cols>
    <col min="1" max="1" width="57.85546875" style="11" customWidth="1"/>
    <col min="2" max="2" width="10.85546875" style="11" customWidth="1"/>
    <col min="3" max="4" width="17.42578125" style="11" customWidth="1"/>
    <col min="5" max="16384" width="14.42578125" style="11"/>
  </cols>
  <sheetData>
    <row r="1" spans="1:4">
      <c r="A1" s="42" t="s">
        <v>0</v>
      </c>
      <c r="B1" s="43"/>
      <c r="C1" s="43"/>
      <c r="D1" s="43"/>
    </row>
    <row r="2" spans="1:4">
      <c r="A2" s="41" t="s">
        <v>35</v>
      </c>
      <c r="B2" s="40"/>
      <c r="C2" s="40"/>
      <c r="D2" s="40"/>
    </row>
    <row r="3" spans="1:4">
      <c r="A3" s="41" t="s">
        <v>60</v>
      </c>
      <c r="B3" s="40"/>
      <c r="C3" s="40"/>
      <c r="D3" s="40"/>
    </row>
    <row r="4" spans="1:4">
      <c r="A4" s="1"/>
      <c r="B4" s="1"/>
      <c r="C4" s="2"/>
    </row>
    <row r="5" spans="1:4" ht="46.5" customHeight="1">
      <c r="A5" s="13" t="s">
        <v>23</v>
      </c>
      <c r="B5" s="44" t="s">
        <v>49</v>
      </c>
      <c r="C5" s="44"/>
      <c r="D5" s="44"/>
    </row>
    <row r="6" spans="1:4">
      <c r="A6" s="13" t="s">
        <v>24</v>
      </c>
      <c r="B6" s="12" t="s">
        <v>25</v>
      </c>
    </row>
    <row r="7" spans="1:4">
      <c r="A7" s="13" t="s">
        <v>26</v>
      </c>
      <c r="B7" s="12" t="s">
        <v>27</v>
      </c>
    </row>
    <row r="8" spans="1:4" ht="25.5">
      <c r="A8" s="1" t="s">
        <v>28</v>
      </c>
      <c r="B8" s="12" t="s">
        <v>29</v>
      </c>
    </row>
    <row r="9" spans="1:4" ht="38.25">
      <c r="A9" s="1" t="s">
        <v>30</v>
      </c>
      <c r="B9" s="12" t="s">
        <v>20</v>
      </c>
    </row>
    <row r="10" spans="1:4">
      <c r="A10" s="3" t="s">
        <v>21</v>
      </c>
    </row>
    <row r="11" spans="1:4">
      <c r="A11" s="3" t="s">
        <v>1</v>
      </c>
    </row>
    <row r="12" spans="1:4" ht="15.75">
      <c r="A12" s="45"/>
      <c r="B12" s="43"/>
      <c r="C12" s="43"/>
      <c r="D12" s="43"/>
    </row>
    <row r="13" spans="1:4" ht="36">
      <c r="A13" s="22" t="s">
        <v>2</v>
      </c>
      <c r="B13" s="22" t="s">
        <v>22</v>
      </c>
      <c r="C13" s="22" t="s">
        <v>33</v>
      </c>
      <c r="D13" s="22" t="s">
        <v>34</v>
      </c>
    </row>
    <row r="14" spans="1:4">
      <c r="A14" s="23">
        <v>1</v>
      </c>
      <c r="B14" s="23">
        <v>2</v>
      </c>
      <c r="C14" s="23">
        <v>3</v>
      </c>
      <c r="D14" s="23">
        <v>4</v>
      </c>
    </row>
    <row r="15" spans="1:4" s="7" customFormat="1">
      <c r="A15" s="23" t="s">
        <v>3</v>
      </c>
      <c r="B15" s="23" t="s">
        <v>4</v>
      </c>
      <c r="C15" s="24">
        <f>C16+C34</f>
        <v>702946.32</v>
      </c>
      <c r="D15" s="24">
        <f>C15</f>
        <v>702946.32</v>
      </c>
    </row>
    <row r="16" spans="1:4" s="6" customFormat="1" ht="24">
      <c r="A16" s="22" t="s">
        <v>18</v>
      </c>
      <c r="B16" s="23">
        <v>2000</v>
      </c>
      <c r="C16" s="24">
        <f>C17+C32</f>
        <v>702946.32</v>
      </c>
      <c r="D16" s="24">
        <f t="shared" ref="D16:D35" si="0">C16</f>
        <v>702946.32</v>
      </c>
    </row>
    <row r="17" spans="1:4" s="8" customFormat="1">
      <c r="A17" s="25" t="s">
        <v>5</v>
      </c>
      <c r="B17" s="23">
        <v>2200</v>
      </c>
      <c r="C17" s="24">
        <f>C18+C20+C21+C22+C26+C23+C25+C19+C24</f>
        <v>702946.32</v>
      </c>
      <c r="D17" s="24">
        <f t="shared" si="0"/>
        <v>702946.32</v>
      </c>
    </row>
    <row r="18" spans="1:4" s="9" customFormat="1">
      <c r="A18" s="26" t="s">
        <v>6</v>
      </c>
      <c r="B18" s="37">
        <v>2210</v>
      </c>
      <c r="C18" s="28">
        <f>3900+4085+1149.5+2784.43</f>
        <v>11918.93</v>
      </c>
      <c r="D18" s="28">
        <f t="shared" si="0"/>
        <v>11918.93</v>
      </c>
    </row>
    <row r="19" spans="1:4" s="9" customFormat="1" ht="24">
      <c r="A19" s="25" t="s">
        <v>61</v>
      </c>
      <c r="B19" s="23">
        <v>2210</v>
      </c>
      <c r="C19" s="36">
        <f>3950+7320+19870</f>
        <v>31140</v>
      </c>
      <c r="D19" s="36">
        <f t="shared" si="0"/>
        <v>31140</v>
      </c>
    </row>
    <row r="20" spans="1:4" s="9" customFormat="1">
      <c r="A20" s="26" t="s">
        <v>36</v>
      </c>
      <c r="B20" s="27">
        <v>2210</v>
      </c>
      <c r="C20" s="28"/>
      <c r="D20" s="28">
        <f t="shared" si="0"/>
        <v>0</v>
      </c>
    </row>
    <row r="21" spans="1:4" s="9" customFormat="1">
      <c r="A21" s="25" t="s">
        <v>7</v>
      </c>
      <c r="B21" s="23">
        <v>2240</v>
      </c>
      <c r="C21" s="24">
        <f>450+4410+686.4+1547.48+5049+2074.89</f>
        <v>14217.769999999999</v>
      </c>
      <c r="D21" s="28">
        <f t="shared" si="0"/>
        <v>14217.769999999999</v>
      </c>
    </row>
    <row r="22" spans="1:4" s="9" customFormat="1">
      <c r="A22" s="25" t="s">
        <v>37</v>
      </c>
      <c r="B22" s="23">
        <v>2240</v>
      </c>
      <c r="C22" s="24"/>
      <c r="D22" s="28">
        <f t="shared" si="0"/>
        <v>0</v>
      </c>
    </row>
    <row r="23" spans="1:4" s="9" customFormat="1">
      <c r="A23" s="25" t="s">
        <v>19</v>
      </c>
      <c r="B23" s="23">
        <v>2240</v>
      </c>
      <c r="C23" s="24">
        <f>49999</f>
        <v>49999</v>
      </c>
      <c r="D23" s="28">
        <f t="shared" si="0"/>
        <v>49999</v>
      </c>
    </row>
    <row r="24" spans="1:4" s="9" customFormat="1" ht="24">
      <c r="A24" s="25" t="s">
        <v>61</v>
      </c>
      <c r="B24" s="23">
        <v>2240</v>
      </c>
      <c r="C24" s="24">
        <f>64852.54</f>
        <v>64852.54</v>
      </c>
      <c r="D24" s="24">
        <f t="shared" si="0"/>
        <v>64852.54</v>
      </c>
    </row>
    <row r="25" spans="1:4" s="9" customFormat="1">
      <c r="A25" s="25" t="s">
        <v>39</v>
      </c>
      <c r="B25" s="23">
        <v>2240</v>
      </c>
      <c r="C25" s="24">
        <f>3447.25+585</f>
        <v>4032.25</v>
      </c>
      <c r="D25" s="28">
        <f t="shared" si="0"/>
        <v>4032.25</v>
      </c>
    </row>
    <row r="26" spans="1:4" s="9" customFormat="1">
      <c r="A26" s="25" t="s">
        <v>15</v>
      </c>
      <c r="B26" s="23">
        <v>2270</v>
      </c>
      <c r="C26" s="24">
        <f>SUM(C27:C31)</f>
        <v>526785.82999999996</v>
      </c>
      <c r="D26" s="28">
        <f t="shared" si="0"/>
        <v>526785.82999999996</v>
      </c>
    </row>
    <row r="27" spans="1:4">
      <c r="A27" s="29" t="s">
        <v>9</v>
      </c>
      <c r="B27" s="22">
        <v>2271</v>
      </c>
      <c r="C27" s="30">
        <f>253941.03+67805.62</f>
        <v>321746.65000000002</v>
      </c>
      <c r="D27" s="30">
        <f t="shared" si="0"/>
        <v>321746.65000000002</v>
      </c>
    </row>
    <row r="28" spans="1:4">
      <c r="A28" s="29" t="s">
        <v>10</v>
      </c>
      <c r="B28" s="22">
        <v>2272</v>
      </c>
      <c r="C28" s="30">
        <f>11443.73+2468.02</f>
        <v>13911.75</v>
      </c>
      <c r="D28" s="30">
        <f t="shared" si="0"/>
        <v>13911.75</v>
      </c>
    </row>
    <row r="29" spans="1:4">
      <c r="A29" s="29" t="s">
        <v>11</v>
      </c>
      <c r="B29" s="22">
        <v>2273</v>
      </c>
      <c r="C29" s="30">
        <f>143343.08+42294.38</f>
        <v>185637.46</v>
      </c>
      <c r="D29" s="30">
        <f t="shared" si="0"/>
        <v>185637.46</v>
      </c>
    </row>
    <row r="30" spans="1:4" hidden="1">
      <c r="A30" s="29" t="s">
        <v>12</v>
      </c>
      <c r="B30" s="22">
        <v>2274</v>
      </c>
      <c r="C30" s="30">
        <v>0</v>
      </c>
      <c r="D30" s="30">
        <f t="shared" si="0"/>
        <v>0</v>
      </c>
    </row>
    <row r="31" spans="1:4">
      <c r="A31" s="29" t="s">
        <v>8</v>
      </c>
      <c r="B31" s="22">
        <v>2275</v>
      </c>
      <c r="C31" s="31">
        <f>3939.01+1550.96</f>
        <v>5489.97</v>
      </c>
      <c r="D31" s="31">
        <f t="shared" si="0"/>
        <v>5489.97</v>
      </c>
    </row>
    <row r="32" spans="1:4" s="8" customFormat="1">
      <c r="A32" s="25" t="s">
        <v>13</v>
      </c>
      <c r="B32" s="23">
        <v>2700</v>
      </c>
      <c r="C32" s="30">
        <f>C33</f>
        <v>0</v>
      </c>
      <c r="D32" s="30">
        <f t="shared" si="0"/>
        <v>0</v>
      </c>
    </row>
    <row r="33" spans="1:4">
      <c r="A33" s="29" t="s">
        <v>32</v>
      </c>
      <c r="B33" s="22">
        <v>2730</v>
      </c>
      <c r="C33" s="30"/>
      <c r="D33" s="30">
        <f t="shared" si="0"/>
        <v>0</v>
      </c>
    </row>
    <row r="34" spans="1:4" s="6" customFormat="1">
      <c r="A34" s="23" t="s">
        <v>14</v>
      </c>
      <c r="B34" s="23">
        <v>3000</v>
      </c>
      <c r="C34" s="30">
        <f>C35</f>
        <v>0</v>
      </c>
      <c r="D34" s="30">
        <f t="shared" si="0"/>
        <v>0</v>
      </c>
    </row>
    <row r="35" spans="1:4">
      <c r="A35" s="29" t="s">
        <v>16</v>
      </c>
      <c r="B35" s="22">
        <v>3110</v>
      </c>
      <c r="C35" s="30"/>
      <c r="D35" s="30">
        <f t="shared" si="0"/>
        <v>0</v>
      </c>
    </row>
    <row r="36" spans="1:4" ht="18">
      <c r="A36" s="4"/>
      <c r="C36" s="14"/>
      <c r="D36" s="14"/>
    </row>
    <row r="37" spans="1:4" ht="15" customHeight="1">
      <c r="C37" s="14"/>
      <c r="D37" s="14"/>
    </row>
    <row r="38" spans="1:4" ht="15" customHeight="1">
      <c r="C38" s="14"/>
      <c r="D38" s="14"/>
    </row>
    <row r="39" spans="1:4" ht="15" customHeight="1">
      <c r="C39" s="14"/>
      <c r="D39" s="14"/>
    </row>
    <row r="43" spans="1:4" s="5" customFormat="1"/>
    <row r="44" spans="1:4" s="5" customFormat="1"/>
    <row r="45" spans="1:4" s="5" customFormat="1"/>
    <row r="81" s="5" customFormat="1"/>
    <row r="82" s="5" customFormat="1"/>
    <row r="83" s="5" customFormat="1"/>
    <row r="119" s="5" customFormat="1"/>
    <row r="120" s="5" customFormat="1"/>
    <row r="121" s="5" customFormat="1"/>
    <row r="157" s="5" customFormat="1"/>
    <row r="158" s="5" customFormat="1"/>
    <row r="159" s="5" customFormat="1"/>
    <row r="195" s="5" customFormat="1"/>
    <row r="196" s="5" customFormat="1"/>
    <row r="197" s="5" customFormat="1"/>
    <row r="233" s="5" customFormat="1"/>
    <row r="234" s="5" customFormat="1"/>
    <row r="235" s="5" customFormat="1"/>
    <row r="271" s="5" customFormat="1"/>
    <row r="272" s="5" customFormat="1"/>
    <row r="273" s="5" customFormat="1"/>
    <row r="309" s="5" customFormat="1"/>
    <row r="310" s="5" customFormat="1"/>
    <row r="311" s="5" customFormat="1"/>
    <row r="347" s="5" customFormat="1"/>
    <row r="348" s="5" customFormat="1"/>
    <row r="349" s="5" customFormat="1"/>
    <row r="385" s="5" customFormat="1"/>
    <row r="386" s="5" customFormat="1"/>
    <row r="387" s="5" customFormat="1"/>
    <row r="423" s="5" customFormat="1"/>
    <row r="424" s="5" customFormat="1"/>
    <row r="425" s="5" customFormat="1"/>
  </sheetData>
  <mergeCells count="5">
    <mergeCell ref="A1:D1"/>
    <mergeCell ref="A2:D2"/>
    <mergeCell ref="A3:D3"/>
    <mergeCell ref="B5:D5"/>
    <mergeCell ref="A12:D12"/>
  </mergeCells>
  <pageMargins left="0.70866141732283472" right="0.70866141732283472" top="0.55118110236220474" bottom="0.35433070866141736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19</vt:i4>
      </vt:variant>
    </vt:vector>
  </HeadingPairs>
  <TitlesOfParts>
    <vt:vector size="38" baseType="lpstr">
      <vt:lpstr>14</vt:lpstr>
      <vt:lpstr>39</vt:lpstr>
      <vt:lpstr>43</vt:lpstr>
      <vt:lpstr>89</vt:lpstr>
      <vt:lpstr>100</vt:lpstr>
      <vt:lpstr>131</vt:lpstr>
      <vt:lpstr>133 </vt:lpstr>
      <vt:lpstr>135</vt:lpstr>
      <vt:lpstr>143</vt:lpstr>
      <vt:lpstr>159</vt:lpstr>
      <vt:lpstr>Надія</vt:lpstr>
      <vt:lpstr>196</vt:lpstr>
      <vt:lpstr>210</vt:lpstr>
      <vt:lpstr>217</vt:lpstr>
      <vt:lpstr>226</vt:lpstr>
      <vt:lpstr>244</vt:lpstr>
      <vt:lpstr>270</vt:lpstr>
      <vt:lpstr>280</vt:lpstr>
      <vt:lpstr>284</vt:lpstr>
      <vt:lpstr>'100'!Область_печати</vt:lpstr>
      <vt:lpstr>'131'!Область_печати</vt:lpstr>
      <vt:lpstr>'133 '!Область_печати</vt:lpstr>
      <vt:lpstr>'135'!Область_печати</vt:lpstr>
      <vt:lpstr>'14'!Область_печати</vt:lpstr>
      <vt:lpstr>'143'!Область_печати</vt:lpstr>
      <vt:lpstr>'159'!Область_печати</vt:lpstr>
      <vt:lpstr>'196'!Область_печати</vt:lpstr>
      <vt:lpstr>'210'!Область_печати</vt:lpstr>
      <vt:lpstr>'217'!Область_печати</vt:lpstr>
      <vt:lpstr>'226'!Область_печати</vt:lpstr>
      <vt:lpstr>'244'!Область_печати</vt:lpstr>
      <vt:lpstr>'270'!Область_печати</vt:lpstr>
      <vt:lpstr>'280'!Область_печати</vt:lpstr>
      <vt:lpstr>'284'!Область_печати</vt:lpstr>
      <vt:lpstr>'39'!Область_печати</vt:lpstr>
      <vt:lpstr>'43'!Область_печати</vt:lpstr>
      <vt:lpstr>'89'!Область_печати</vt:lpstr>
      <vt:lpstr>Надія!Область_печати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abcde</cp:lastModifiedBy>
  <cp:lastPrinted>2022-09-16T12:21:15Z</cp:lastPrinted>
  <dcterms:created xsi:type="dcterms:W3CDTF">2018-06-18T10:20:14Z</dcterms:created>
  <dcterms:modified xsi:type="dcterms:W3CDTF">2023-02-09T12:27:06Z</dcterms:modified>
</cp:coreProperties>
</file>